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worksheets/sheet11.xml" ContentType="application/vnd.openxmlformats-officedocument.spreadsheetml.worksheet+xml"/>
  <Override PartName="/xl/chartsheets/sheet21.xml" ContentType="application/vnd.openxmlformats-officedocument.spreadsheetml.chartsheet+xml"/>
  <Override PartName="/xl/drawings/drawing21.xml" ContentType="application/vnd.openxmlformats-officedocument.drawing+xml"/>
  <Override PartName="/xl/chartsheets/sheet22.xml" ContentType="application/vnd.openxmlformats-officedocument.spreadsheetml.chartsheet+xml"/>
  <Override PartName="/xl/drawings/drawing22.xml" ContentType="application/vnd.openxmlformats-officedocument.drawing+xml"/>
  <Override PartName="/xl/worksheets/sheet12.xml" ContentType="application/vnd.openxmlformats-officedocument.spreadsheetml.worksheet+xml"/>
  <Override PartName="/xl/chartsheets/sheet23.xml" ContentType="application/vnd.openxmlformats-officedocument.spreadsheetml.chartsheet+xml"/>
  <Override PartName="/xl/drawings/drawing23.xml" ContentType="application/vnd.openxmlformats-officedocument.drawing+xml"/>
  <Override PartName="/xl/chartsheets/sheet24.xml" ContentType="application/vnd.openxmlformats-officedocument.spreadsheetml.chartsheet+xml"/>
  <Override PartName="/xl/drawings/drawing24.xml" ContentType="application/vnd.openxmlformats-officedocument.drawing+xml"/>
  <Override PartName="/xl/worksheets/sheet13.xml" ContentType="application/vnd.openxmlformats-officedocument.spreadsheetml.worksheet+xml"/>
  <Override PartName="/xl/chartsheets/sheet25.xml" ContentType="application/vnd.openxmlformats-officedocument.spreadsheetml.chartsheet+xml"/>
  <Override PartName="/xl/drawings/drawing25.xml" ContentType="application/vnd.openxmlformats-officedocument.drawing+xml"/>
  <Override PartName="/xl/chartsheets/sheet26.xml" ContentType="application/vnd.openxmlformats-officedocument.spreadsheetml.chartsheet+xml"/>
  <Override PartName="/xl/drawings/drawing26.xml" ContentType="application/vnd.openxmlformats-officedocument.drawing+xml"/>
  <Override PartName="/xl/worksheets/sheet14.xml" ContentType="application/vnd.openxmlformats-officedocument.spreadsheetml.worksheet+xml"/>
  <Override PartName="/xl/chartsheets/sheet27.xml" ContentType="application/vnd.openxmlformats-officedocument.spreadsheetml.chartsheet+xml"/>
  <Override PartName="/xl/drawings/drawing27.xml" ContentType="application/vnd.openxmlformats-officedocument.drawing+xml"/>
  <Override PartName="/xl/chartsheets/sheet28.xml" ContentType="application/vnd.openxmlformats-officedocument.spreadsheetml.chartsheet+xml"/>
  <Override PartName="/xl/drawings/drawing28.xml" ContentType="application/vnd.openxmlformats-officedocument.drawing+xml"/>
  <Override PartName="/xl/worksheets/sheet15.xml" ContentType="application/vnd.openxmlformats-officedocument.spreadsheetml.worksheet+xml"/>
  <Override PartName="/xl/chartsheets/sheet29.xml" ContentType="application/vnd.openxmlformats-officedocument.spreadsheetml.chartsheet+xml"/>
  <Override PartName="/xl/drawings/drawing29.xml" ContentType="application/vnd.openxmlformats-officedocument.drawing+xml"/>
  <Override PartName="/xl/chartsheets/sheet30.xml" ContentType="application/vnd.openxmlformats-officedocument.spreadsheetml.chartsheet+xml"/>
  <Override PartName="/xl/drawings/drawing30.xml" ContentType="application/vnd.openxmlformats-officedocument.drawing+xml"/>
  <Override PartName="/xl/worksheets/sheet16.xml" ContentType="application/vnd.openxmlformats-officedocument.spreadsheetml.worksheet+xml"/>
  <Override PartName="/xl/chartsheets/sheet31.xml" ContentType="application/vnd.openxmlformats-officedocument.spreadsheetml.chartsheet+xml"/>
  <Override PartName="/xl/drawings/drawing31.xml" ContentType="application/vnd.openxmlformats-officedocument.drawing+xml"/>
  <Override PartName="/xl/chartsheets/sheet32.xml" ContentType="application/vnd.openxmlformats-officedocument.spreadsheetml.chartsheet+xml"/>
  <Override PartName="/xl/drawings/drawing32.xml" ContentType="application/vnd.openxmlformats-officedocument.drawing+xml"/>
  <Override PartName="/xl/worksheets/sheet17.xml" ContentType="application/vnd.openxmlformats-officedocument.spreadsheetml.worksheet+xml"/>
  <Override PartName="/xl/chartsheets/sheet33.xml" ContentType="application/vnd.openxmlformats-officedocument.spreadsheetml.chartsheet+xml"/>
  <Override PartName="/xl/drawings/drawing33.xml" ContentType="application/vnd.openxmlformats-officedocument.drawing+xml"/>
  <Override PartName="/xl/chartsheets/sheet34.xml" ContentType="application/vnd.openxmlformats-officedocument.spreadsheetml.chartsheet+xml"/>
  <Override PartName="/xl/drawings/drawing3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5" yWindow="65521" windowWidth="10200" windowHeight="9225" firstSheet="36" activeTab="48"/>
  </bookViews>
  <sheets>
    <sheet name="D1" sheetId="1" r:id="rId1"/>
    <sheet name="1a" sheetId="2" r:id="rId2"/>
    <sheet name="1b" sheetId="3" r:id="rId3"/>
    <sheet name="D2" sheetId="4" r:id="rId4"/>
    <sheet name="2a" sheetId="5" r:id="rId5"/>
    <sheet name="2b" sheetId="6" r:id="rId6"/>
    <sheet name="D3" sheetId="7" r:id="rId7"/>
    <sheet name="3a" sheetId="8" r:id="rId8"/>
    <sheet name="3b" sheetId="9" r:id="rId9"/>
    <sheet name="D4" sheetId="10" r:id="rId10"/>
    <sheet name="4a" sheetId="11" r:id="rId11"/>
    <sheet name="4b" sheetId="12" r:id="rId12"/>
    <sheet name="D5" sheetId="13" r:id="rId13"/>
    <sheet name="5a" sheetId="14" r:id="rId14"/>
    <sheet name="5b" sheetId="15" r:id="rId15"/>
    <sheet name="D6" sheetId="16" r:id="rId16"/>
    <sheet name="6a" sheetId="17" r:id="rId17"/>
    <sheet name="6b" sheetId="18" r:id="rId18"/>
    <sheet name="D7" sheetId="19" r:id="rId19"/>
    <sheet name="7a" sheetId="20" r:id="rId20"/>
    <sheet name="7b" sheetId="21" r:id="rId21"/>
    <sheet name="D8" sheetId="22" r:id="rId22"/>
    <sheet name="8a" sheetId="23" r:id="rId23"/>
    <sheet name="8b" sheetId="24" r:id="rId24"/>
    <sheet name="D9" sheetId="25" r:id="rId25"/>
    <sheet name="9a" sheetId="26" r:id="rId26"/>
    <sheet name="9b" sheetId="27" r:id="rId27"/>
    <sheet name="D10" sheetId="28" r:id="rId28"/>
    <sheet name="10a" sheetId="29" r:id="rId29"/>
    <sheet name="10b" sheetId="30" r:id="rId30"/>
    <sheet name="D11" sheetId="31" r:id="rId31"/>
    <sheet name="11a" sheetId="32" r:id="rId32"/>
    <sheet name="11b" sheetId="33" r:id="rId33"/>
    <sheet name="D12" sheetId="34" r:id="rId34"/>
    <sheet name="12a" sheetId="35" r:id="rId35"/>
    <sheet name="12b" sheetId="36" r:id="rId36"/>
    <sheet name="D13" sheetId="37" r:id="rId37"/>
    <sheet name="13a" sheetId="38" r:id="rId38"/>
    <sheet name="13b" sheetId="39" r:id="rId39"/>
    <sheet name="D14" sheetId="40" r:id="rId40"/>
    <sheet name="14a" sheetId="41" r:id="rId41"/>
    <sheet name="14b" sheetId="42" r:id="rId42"/>
    <sheet name="D15" sheetId="43" r:id="rId43"/>
    <sheet name="15a" sheetId="44" r:id="rId44"/>
    <sheet name="15b" sheetId="45" r:id="rId45"/>
    <sheet name="D16" sheetId="46" r:id="rId46"/>
    <sheet name="16a" sheetId="47" r:id="rId47"/>
    <sheet name="16b" sheetId="48" r:id="rId48"/>
    <sheet name="STATEWIDE" sheetId="49" r:id="rId49"/>
    <sheet name="State a" sheetId="50" r:id="rId50"/>
    <sheet name="State b" sheetId="51" r:id="rId51"/>
    <sheet name="Sheet1" sheetId="52" r:id="rId52"/>
  </sheets>
  <definedNames/>
  <calcPr fullCalcOnLoad="1"/>
</workbook>
</file>

<file path=xl/sharedStrings.xml><?xml version="1.0" encoding="utf-8"?>
<sst xmlns="http://schemas.openxmlformats.org/spreadsheetml/2006/main" count="852" uniqueCount="45">
  <si>
    <t>JOBS SUPPORT SERVICE EXPENDITURE DATA</t>
  </si>
  <si>
    <t>DISTRICT</t>
  </si>
  <si>
    <t>MONTHLY</t>
  </si>
  <si>
    <t>PRE-TANF</t>
  </si>
  <si>
    <t>JOBS PROGRAM</t>
  </si>
  <si>
    <t>POST TANF***</t>
  </si>
  <si>
    <t>TOTAL MONTH</t>
  </si>
  <si>
    <t>MANDATORY</t>
  </si>
  <si>
    <t>ACTIVE</t>
  </si>
  <si>
    <t>POST</t>
  </si>
  <si>
    <t>SUPPORT SERV</t>
  </si>
  <si>
    <t>PARTICIP*</t>
  </si>
  <si>
    <t>JOBS</t>
  </si>
  <si>
    <t xml:space="preserve">TANF </t>
  </si>
  <si>
    <t>ALLOCATION</t>
  </si>
  <si>
    <t>EXPENDITURES</t>
  </si>
  <si>
    <t>EXPENDITURES*</t>
  </si>
  <si>
    <t>STATUS</t>
  </si>
  <si>
    <t>EXPENDITURE</t>
  </si>
  <si>
    <t>PARTICIP**</t>
  </si>
  <si>
    <t>PERSONS***</t>
  </si>
  <si>
    <t>2007-2008</t>
  </si>
  <si>
    <t>2008-2009*</t>
  </si>
  <si>
    <t>TOTAL 07-09</t>
  </si>
  <si>
    <t>2011-2012</t>
  </si>
  <si>
    <t>2012-2013</t>
  </si>
  <si>
    <t>TOTAL 11-13</t>
  </si>
  <si>
    <t>2013-2014</t>
  </si>
  <si>
    <t>2014-2015</t>
  </si>
  <si>
    <t>TOTAL 13-15</t>
  </si>
  <si>
    <t>* The Mandatory Participant count does not include JPI.  It is the same Mandatory Participant count on the PA Caseload report plus the UN Mandatory Participant count.</t>
  </si>
  <si>
    <t>**As of January 2009 these are the number of participants.   Prior to that, this number indicated the number of cases receiving Post-TANF.</t>
  </si>
  <si>
    <t>The February 2012 child care expenditures include credits and other adjustments made by DHS Financial Services that may cause negative overall expenditures to display.   Districts should consider excluding February 2012 when conducting spending trend anal</t>
  </si>
  <si>
    <t>Data source - Pre TANF and JOBS support services pages from monthly branch data book located at: http://www.oregon.gov/DHS/assistance/data/papage.shtml</t>
  </si>
  <si>
    <t>EXPENDITURE*</t>
  </si>
  <si>
    <t>PARTICIP</t>
  </si>
  <si>
    <t>**</t>
  </si>
  <si>
    <t>***</t>
  </si>
  <si>
    <t>****</t>
  </si>
  <si>
    <t>Statewide</t>
  </si>
  <si>
    <t>MONTHLY DISTRICT</t>
  </si>
  <si>
    <t>TOTAL DISTRICT MONTH</t>
  </si>
  <si>
    <t xml:space="preserve">DISTRICT YTD </t>
  </si>
  <si>
    <t>BIENN TO DATE</t>
  </si>
  <si>
    <t>AVE MONTHLY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</si>
</sst>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mm/yy"/>
    <numFmt numFmtId="168" formatCode="mmm\-yyyy"/>
    <numFmt numFmtId="169" formatCode="mm\-yy"/>
    <numFmt numFmtId="170" formatCode="m\-yy"/>
    <numFmt numFmtId="171" formatCode="m/d"/>
    <numFmt numFmtId="172" formatCode="#,##0.0"/>
    <numFmt numFmtId="173" formatCode="0.0000"/>
    <numFmt numFmtId="174" formatCode="0.000"/>
    <numFmt numFmtId="175" formatCode="0.0"/>
    <numFmt numFmtId="176" formatCode="#,##0.0_);[Red]\(#,##0.0\)"/>
    <numFmt numFmtId="177" formatCode="_(&quot;$&quot;* #,##0.0_);_(&quot;$&quot;* \(#,##0.0\);_(&quot;$&quot;* &quot;-&quot;??_);_(@_)"/>
    <numFmt numFmtId="178" formatCode="_(&quot;$&quot;* #,##0_);_(&quot;$&quot;* \(#,##0\);_(&quot;$&quot;* &quot;-&quot;??_);_(@_)"/>
    <numFmt numFmtId="179" formatCode="0.0%"/>
    <numFmt numFmtId="180" formatCode="0.000000"/>
    <numFmt numFmtId="181" formatCode="0.00000"/>
    <numFmt numFmtId="182" formatCode="#,##0.000"/>
    <numFmt numFmtId="183" formatCode="#,##0.0000"/>
    <numFmt numFmtId="184" formatCode="\$#,##0"/>
    <numFmt numFmtId="185" formatCode="[$-409]dddd\,\ mmmm\ dd\,\ yyyy"/>
    <numFmt numFmtId="186" formatCode="[$-409]h:mm:ss\ AM/PM"/>
  </numFmts>
  <fonts count="34">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4"/>
      <name val="Arial"/>
      <family val="2"/>
    </font>
    <font>
      <i/>
      <sz val="11"/>
      <color indexed="23"/>
      <name val="Calibri"/>
      <family val="2"/>
    </font>
    <font>
      <u val="single"/>
      <sz val="7.5"/>
      <color indexed="20"/>
      <name val="Arial"/>
      <family val="2"/>
    </font>
    <font>
      <sz val="11"/>
      <color indexed="17"/>
      <name val="Calibri"/>
      <family val="2"/>
    </font>
    <font>
      <b/>
      <sz val="18"/>
      <name val="Arial"/>
      <family val="2"/>
    </font>
    <font>
      <b/>
      <sz val="12"/>
      <name val="Arial"/>
      <family val="2"/>
    </font>
    <font>
      <b/>
      <sz val="11"/>
      <color indexed="18"/>
      <name val="Calibri"/>
      <family val="2"/>
    </font>
    <font>
      <u val="single"/>
      <sz val="7.5"/>
      <color indexed="12"/>
      <name val="Arial"/>
      <family val="2"/>
    </font>
    <font>
      <sz val="11"/>
      <color indexed="18"/>
      <name val="Calibri"/>
      <family val="2"/>
    </font>
    <font>
      <sz val="11"/>
      <color indexed="10"/>
      <name val="Calibri"/>
      <family val="2"/>
    </font>
    <font>
      <sz val="11"/>
      <color indexed="19"/>
      <name val="Calibri"/>
      <family val="2"/>
    </font>
    <font>
      <b/>
      <sz val="11"/>
      <color indexed="23"/>
      <name val="Calibri"/>
      <family val="2"/>
    </font>
    <font>
      <b/>
      <sz val="18"/>
      <color indexed="18"/>
      <name val="Cambria"/>
      <family val="1"/>
    </font>
    <font>
      <b/>
      <sz val="14"/>
      <name val="Arial"/>
      <family val="2"/>
    </font>
    <font>
      <b/>
      <sz val="10"/>
      <name val="Arial"/>
      <family val="2"/>
    </font>
    <font>
      <sz val="12"/>
      <name val="Arial"/>
      <family val="2"/>
    </font>
    <font>
      <sz val="10"/>
      <color indexed="8"/>
      <name val="Arial"/>
      <family val="0"/>
    </font>
    <font>
      <sz val="8.5"/>
      <color indexed="8"/>
      <name val="Arial"/>
      <family val="0"/>
    </font>
    <font>
      <sz val="7.1"/>
      <color indexed="8"/>
      <name val="Arial"/>
      <family val="0"/>
    </font>
    <font>
      <sz val="5.7"/>
      <color indexed="8"/>
      <name val="Arial"/>
      <family val="0"/>
    </font>
    <font>
      <sz val="8"/>
      <color indexed="8"/>
      <name val="Arial"/>
      <family val="0"/>
    </font>
    <font>
      <sz val="12"/>
      <color indexed="9"/>
      <name val="Arial"/>
      <family val="2"/>
    </font>
    <font>
      <sz val="14"/>
      <color indexed="9"/>
      <name val="Arial"/>
      <family val="2"/>
    </font>
    <font>
      <sz val="10"/>
      <color indexed="9"/>
      <name val="Arial"/>
      <family val="2"/>
    </font>
    <font>
      <b/>
      <sz val="26.25"/>
      <color indexed="8"/>
      <name val="Arial"/>
      <family val="0"/>
    </font>
    <font>
      <sz val="12"/>
      <color theme="0"/>
      <name val="Arial"/>
      <family val="2"/>
    </font>
    <font>
      <sz val="14"/>
      <color theme="0"/>
      <name val="Arial"/>
      <family val="2"/>
    </font>
    <font>
      <sz val="10"/>
      <color theme="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9"/>
        <bgColor indexed="64"/>
      </patternFill>
    </fill>
    <fill>
      <patternFill patternType="solid">
        <fgColor indexed="12"/>
        <bgColor indexed="64"/>
      </patternFill>
    </fill>
    <fill>
      <patternFill patternType="solid">
        <fgColor indexed="15"/>
        <bgColor indexed="64"/>
      </patternFill>
    </fill>
    <fill>
      <patternFill patternType="solid">
        <fgColor indexed="10"/>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medium">
        <color indexed="22"/>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style="double">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6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3" fillId="2" borderId="0" applyNumberFormat="0" applyBorder="0" applyAlignment="0" applyProtection="0"/>
    <xf numFmtId="0" fontId="4" fillId="3" borderId="1" applyNumberFormat="0" applyAlignment="0" applyProtection="0"/>
    <xf numFmtId="0" fontId="5" fillId="4" borderId="2" applyNumberFormat="0" applyAlignment="0" applyProtection="0"/>
    <xf numFmtId="4" fontId="0" fillId="0" borderId="0" applyFont="0" applyFill="0" applyBorder="0" applyAlignment="0" applyProtection="0"/>
    <xf numFmtId="41" fontId="6"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6"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 fillId="0" borderId="0" applyNumberFormat="0" applyFill="0" applyBorder="0" applyAlignment="0" applyProtection="0"/>
    <xf numFmtId="2" fontId="0" fillId="0" borderId="0" applyFon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Alignment="0" applyProtection="0"/>
    <xf numFmtId="0" fontId="15" fillId="0" borderId="4" applyNumberFormat="0" applyFill="0" applyAlignment="0" applyProtection="0"/>
    <xf numFmtId="0" fontId="16" fillId="2" borderId="0" applyNumberFormat="0" applyBorder="0" applyAlignment="0" applyProtection="0"/>
    <xf numFmtId="0" fontId="0" fillId="3" borderId="5" applyNumberFormat="0" applyFont="0" applyAlignment="0" applyProtection="0"/>
    <xf numFmtId="0" fontId="17" fillId="3" borderId="1" applyNumberFormat="0" applyAlignment="0" applyProtection="0"/>
    <xf numFmtId="10" fontId="0" fillId="0" borderId="0" applyFont="0" applyFill="0" applyBorder="0" applyAlignment="0" applyProtection="0"/>
    <xf numFmtId="0" fontId="18" fillId="0" borderId="0" applyNumberFormat="0" applyFill="0" applyBorder="0" applyAlignment="0" applyProtection="0"/>
    <xf numFmtId="0" fontId="0" fillId="0" borderId="6" applyNumberFormat="0" applyFont="0" applyBorder="0" applyAlignment="0" applyProtection="0"/>
    <xf numFmtId="0" fontId="15" fillId="0" borderId="0" applyNumberFormat="0" applyFill="0" applyBorder="0" applyAlignment="0" applyProtection="0"/>
  </cellStyleXfs>
  <cellXfs count="59">
    <xf numFmtId="0" fontId="0" fillId="0" borderId="0" xfId="0" applyAlignment="1">
      <alignment/>
    </xf>
    <xf numFmtId="0" fontId="19" fillId="0" borderId="0" xfId="0" applyFont="1" applyBorder="1" applyAlignment="1">
      <alignment horizontal="left"/>
    </xf>
    <xf numFmtId="0" fontId="0" fillId="0" borderId="0" xfId="0" applyFont="1" applyAlignment="1">
      <alignment horizontal="center"/>
    </xf>
    <xf numFmtId="0" fontId="20" fillId="0" borderId="0" xfId="0" applyFont="1" applyAlignment="1">
      <alignment horizontal="center"/>
    </xf>
    <xf numFmtId="0" fontId="0" fillId="0" borderId="0" xfId="0" applyAlignment="1">
      <alignment horizontal="center"/>
    </xf>
    <xf numFmtId="0" fontId="19" fillId="0" borderId="0" xfId="0" applyFont="1" applyAlignment="1">
      <alignment/>
    </xf>
    <xf numFmtId="0" fontId="19" fillId="0" borderId="0" xfId="0" applyFont="1" applyAlignment="1">
      <alignment horizontal="center"/>
    </xf>
    <xf numFmtId="167" fontId="21" fillId="0" borderId="0" xfId="0" applyNumberFormat="1" applyFont="1" applyAlignment="1">
      <alignment horizontal="center"/>
    </xf>
    <xf numFmtId="164" fontId="6" fillId="0" borderId="0" xfId="0" applyNumberFormat="1" applyFont="1" applyAlignment="1">
      <alignment horizontal="center"/>
    </xf>
    <xf numFmtId="3" fontId="6" fillId="0" borderId="0" xfId="0" applyNumberFormat="1" applyFont="1" applyAlignment="1">
      <alignment horizontal="center"/>
    </xf>
    <xf numFmtId="0" fontId="6" fillId="0" borderId="0" xfId="0" applyFont="1" applyAlignment="1">
      <alignment horizontal="center"/>
    </xf>
    <xf numFmtId="164" fontId="6" fillId="0" borderId="0" xfId="0" applyNumberFormat="1" applyFont="1" applyBorder="1" applyAlignment="1">
      <alignment horizontal="center"/>
    </xf>
    <xf numFmtId="164" fontId="6" fillId="0" borderId="7" xfId="0" applyNumberFormat="1" applyFont="1" applyBorder="1" applyAlignment="1">
      <alignment horizontal="center"/>
    </xf>
    <xf numFmtId="3" fontId="6" fillId="0" borderId="7" xfId="42" applyNumberFormat="1" applyFont="1" applyBorder="1" applyAlignment="1">
      <alignment horizontal="center"/>
    </xf>
    <xf numFmtId="0" fontId="6" fillId="0" borderId="7" xfId="0" applyFont="1" applyBorder="1" applyAlignment="1">
      <alignment horizontal="center"/>
    </xf>
    <xf numFmtId="164" fontId="6" fillId="0" borderId="0" xfId="42" applyNumberFormat="1" applyFont="1" applyBorder="1" applyAlignment="1">
      <alignment horizontal="center"/>
    </xf>
    <xf numFmtId="164" fontId="6" fillId="0" borderId="0" xfId="42" applyNumberFormat="1" applyFont="1" applyAlignment="1">
      <alignment horizontal="center"/>
    </xf>
    <xf numFmtId="164" fontId="6" fillId="0" borderId="7" xfId="42" applyNumberFormat="1" applyFont="1" applyBorder="1" applyAlignment="1">
      <alignment horizontal="center"/>
    </xf>
    <xf numFmtId="1" fontId="6" fillId="0" borderId="7" xfId="0" applyNumberFormat="1" applyFont="1" applyBorder="1" applyAlignment="1">
      <alignment horizontal="center"/>
    </xf>
    <xf numFmtId="1" fontId="6" fillId="0" borderId="0" xfId="0" applyNumberFormat="1" applyFont="1" applyBorder="1" applyAlignment="1">
      <alignment horizontal="center"/>
    </xf>
    <xf numFmtId="0" fontId="21" fillId="0" borderId="0" xfId="0" applyFont="1" applyAlignment="1">
      <alignment/>
    </xf>
    <xf numFmtId="3" fontId="6" fillId="0" borderId="0" xfId="42" applyNumberFormat="1" applyFont="1" applyAlignment="1">
      <alignment horizontal="center"/>
    </xf>
    <xf numFmtId="1" fontId="6" fillId="0" borderId="0" xfId="0" applyNumberFormat="1" applyFont="1" applyAlignment="1">
      <alignment horizontal="center"/>
    </xf>
    <xf numFmtId="164" fontId="6" fillId="0" borderId="0" xfId="0" applyNumberFormat="1" applyFont="1" applyAlignment="1">
      <alignment horizontal="left"/>
    </xf>
    <xf numFmtId="0" fontId="6" fillId="0" borderId="0" xfId="0" applyFont="1" applyAlignment="1">
      <alignment/>
    </xf>
    <xf numFmtId="164" fontId="21" fillId="0" borderId="0" xfId="0" applyNumberFormat="1" applyFont="1" applyAlignment="1">
      <alignment horizontal="center"/>
    </xf>
    <xf numFmtId="164" fontId="21" fillId="0" borderId="0" xfId="0" applyNumberFormat="1" applyFont="1" applyAlignment="1">
      <alignment horizontal="left"/>
    </xf>
    <xf numFmtId="3" fontId="21" fillId="0" borderId="0" xfId="42" applyNumberFormat="1" applyFont="1" applyAlignment="1">
      <alignment horizontal="center"/>
    </xf>
    <xf numFmtId="0" fontId="21" fillId="0" borderId="0" xfId="0" applyFont="1" applyAlignment="1">
      <alignment horizontal="left"/>
    </xf>
    <xf numFmtId="0" fontId="21" fillId="0" borderId="0" xfId="0" applyFont="1" applyAlignment="1">
      <alignment horizontal="center"/>
    </xf>
    <xf numFmtId="3" fontId="21" fillId="0" borderId="0" xfId="0" applyNumberFormat="1" applyFont="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164" fontId="21" fillId="0" borderId="0" xfId="0" applyNumberFormat="1" applyFont="1" applyBorder="1" applyAlignment="1">
      <alignment horizontal="center"/>
    </xf>
    <xf numFmtId="164" fontId="21" fillId="0" borderId="7" xfId="0" applyNumberFormat="1" applyFont="1" applyBorder="1" applyAlignment="1">
      <alignment horizontal="center"/>
    </xf>
    <xf numFmtId="3" fontId="21" fillId="0" borderId="7" xfId="42" applyNumberFormat="1" applyFont="1" applyBorder="1" applyAlignment="1">
      <alignment horizontal="center"/>
    </xf>
    <xf numFmtId="0" fontId="21" fillId="0" borderId="7" xfId="0" applyFont="1" applyBorder="1" applyAlignment="1">
      <alignment horizontal="center"/>
    </xf>
    <xf numFmtId="164" fontId="21" fillId="0" borderId="0" xfId="42" applyNumberFormat="1" applyFont="1" applyBorder="1" applyAlignment="1">
      <alignment horizontal="center"/>
    </xf>
    <xf numFmtId="164" fontId="21" fillId="0" borderId="0" xfId="42" applyNumberFormat="1" applyFont="1" applyAlignment="1">
      <alignment horizontal="center"/>
    </xf>
    <xf numFmtId="164" fontId="21" fillId="0" borderId="7" xfId="42" applyNumberFormat="1" applyFont="1" applyBorder="1" applyAlignment="1">
      <alignment horizontal="center"/>
    </xf>
    <xf numFmtId="1" fontId="21" fillId="0" borderId="7" xfId="0" applyNumberFormat="1" applyFont="1" applyBorder="1" applyAlignment="1">
      <alignment horizontal="center"/>
    </xf>
    <xf numFmtId="1" fontId="0" fillId="0" borderId="7" xfId="0" applyNumberFormat="1" applyBorder="1" applyAlignment="1">
      <alignment horizontal="center"/>
    </xf>
    <xf numFmtId="1" fontId="21" fillId="0" borderId="0" xfId="0" applyNumberFormat="1" applyFont="1"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67" fontId="21" fillId="0" borderId="0" xfId="0" applyNumberFormat="1" applyFont="1" applyBorder="1" applyAlignment="1">
      <alignment horizontal="center"/>
    </xf>
    <xf numFmtId="164" fontId="21" fillId="0" borderId="8" xfId="0" applyNumberFormat="1" applyFont="1" applyBorder="1" applyAlignment="1">
      <alignment horizontal="center"/>
    </xf>
    <xf numFmtId="3" fontId="21" fillId="0" borderId="0" xfId="42" applyNumberFormat="1" applyFont="1" applyBorder="1" applyAlignment="1">
      <alignment horizontal="center"/>
    </xf>
    <xf numFmtId="3" fontId="21" fillId="0" borderId="7" xfId="0" applyNumberFormat="1" applyFont="1" applyBorder="1" applyAlignment="1">
      <alignment horizontal="center"/>
    </xf>
    <xf numFmtId="3" fontId="21" fillId="0" borderId="0" xfId="0" applyNumberFormat="1" applyFont="1" applyBorder="1" applyAlignment="1">
      <alignment horizontal="center"/>
    </xf>
    <xf numFmtId="0" fontId="11" fillId="0" borderId="0" xfId="0" applyFont="1" applyBorder="1" applyAlignment="1">
      <alignment/>
    </xf>
    <xf numFmtId="0" fontId="21" fillId="0" borderId="0" xfId="0" applyFont="1" applyBorder="1" applyAlignment="1">
      <alignment/>
    </xf>
    <xf numFmtId="0" fontId="31" fillId="0" borderId="0" xfId="0" applyFont="1" applyAlignment="1">
      <alignment/>
    </xf>
    <xf numFmtId="164" fontId="32" fillId="0" borderId="0" xfId="0" applyNumberFormat="1" applyFont="1" applyAlignment="1">
      <alignment horizontal="center"/>
    </xf>
    <xf numFmtId="3" fontId="32" fillId="0" borderId="0" xfId="42" applyNumberFormat="1" applyFont="1" applyAlignment="1">
      <alignment horizontal="center"/>
    </xf>
    <xf numFmtId="0" fontId="32" fillId="0" borderId="0" xfId="0" applyFont="1" applyAlignment="1">
      <alignment horizontal="center"/>
    </xf>
    <xf numFmtId="0" fontId="33" fillId="0" borderId="0" xfId="0" applyFont="1" applyAlignment="1">
      <alignment/>
    </xf>
    <xf numFmtId="1" fontId="32" fillId="0" borderId="0" xfId="0" applyNumberFormat="1" applyFont="1" applyAlignment="1">
      <alignment horizontal="center"/>
    </xf>
    <xf numFmtId="0" fontId="32"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worksheet" Target="worksheets/sheet4.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worksheet" Target="worksheets/sheet5.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worksheet" Target="worksheets/sheet6.xml" /><Relationship Id="rId17" Type="http://schemas.openxmlformats.org/officeDocument/2006/relationships/chartsheet" Target="chartsheets/sheet11.xml" /><Relationship Id="rId18" Type="http://schemas.openxmlformats.org/officeDocument/2006/relationships/chartsheet" Target="chartsheets/sheet12.xml" /><Relationship Id="rId19" Type="http://schemas.openxmlformats.org/officeDocument/2006/relationships/worksheet" Target="worksheets/sheet7.xml" /><Relationship Id="rId20" Type="http://schemas.openxmlformats.org/officeDocument/2006/relationships/chartsheet" Target="chartsheets/sheet13.xml" /><Relationship Id="rId21" Type="http://schemas.openxmlformats.org/officeDocument/2006/relationships/chartsheet" Target="chartsheets/sheet14.xml" /><Relationship Id="rId22" Type="http://schemas.openxmlformats.org/officeDocument/2006/relationships/worksheet" Target="worksheets/sheet8.xml" /><Relationship Id="rId23" Type="http://schemas.openxmlformats.org/officeDocument/2006/relationships/chartsheet" Target="chartsheets/sheet15.xml" /><Relationship Id="rId24" Type="http://schemas.openxmlformats.org/officeDocument/2006/relationships/chartsheet" Target="chartsheets/sheet16.xml" /><Relationship Id="rId25" Type="http://schemas.openxmlformats.org/officeDocument/2006/relationships/worksheet" Target="worksheets/sheet9.xml" /><Relationship Id="rId26" Type="http://schemas.openxmlformats.org/officeDocument/2006/relationships/chartsheet" Target="chartsheets/sheet17.xml" /><Relationship Id="rId27" Type="http://schemas.openxmlformats.org/officeDocument/2006/relationships/chartsheet" Target="chartsheets/sheet18.xml" /><Relationship Id="rId28" Type="http://schemas.openxmlformats.org/officeDocument/2006/relationships/worksheet" Target="worksheets/sheet10.xml" /><Relationship Id="rId29" Type="http://schemas.openxmlformats.org/officeDocument/2006/relationships/chartsheet" Target="chartsheets/sheet19.xml" /><Relationship Id="rId30" Type="http://schemas.openxmlformats.org/officeDocument/2006/relationships/chartsheet" Target="chartsheets/sheet20.xml" /><Relationship Id="rId31" Type="http://schemas.openxmlformats.org/officeDocument/2006/relationships/worksheet" Target="worksheets/sheet11.xml" /><Relationship Id="rId32" Type="http://schemas.openxmlformats.org/officeDocument/2006/relationships/chartsheet" Target="chartsheets/sheet21.xml" /><Relationship Id="rId33" Type="http://schemas.openxmlformats.org/officeDocument/2006/relationships/chartsheet" Target="chartsheets/sheet22.xml" /><Relationship Id="rId34" Type="http://schemas.openxmlformats.org/officeDocument/2006/relationships/worksheet" Target="worksheets/sheet12.xml" /><Relationship Id="rId35" Type="http://schemas.openxmlformats.org/officeDocument/2006/relationships/chartsheet" Target="chartsheets/sheet23.xml" /><Relationship Id="rId36" Type="http://schemas.openxmlformats.org/officeDocument/2006/relationships/chartsheet" Target="chartsheets/sheet24.xml" /><Relationship Id="rId37" Type="http://schemas.openxmlformats.org/officeDocument/2006/relationships/worksheet" Target="worksheets/sheet13.xml" /><Relationship Id="rId38" Type="http://schemas.openxmlformats.org/officeDocument/2006/relationships/chartsheet" Target="chartsheets/sheet25.xml" /><Relationship Id="rId39" Type="http://schemas.openxmlformats.org/officeDocument/2006/relationships/chartsheet" Target="chartsheets/sheet26.xml" /><Relationship Id="rId40" Type="http://schemas.openxmlformats.org/officeDocument/2006/relationships/worksheet" Target="worksheets/sheet14.xml" /><Relationship Id="rId41" Type="http://schemas.openxmlformats.org/officeDocument/2006/relationships/chartsheet" Target="chartsheets/sheet27.xml" /><Relationship Id="rId42" Type="http://schemas.openxmlformats.org/officeDocument/2006/relationships/chartsheet" Target="chartsheets/sheet28.xml" /><Relationship Id="rId43" Type="http://schemas.openxmlformats.org/officeDocument/2006/relationships/worksheet" Target="worksheets/sheet15.xml" /><Relationship Id="rId44" Type="http://schemas.openxmlformats.org/officeDocument/2006/relationships/chartsheet" Target="chartsheets/sheet29.xml" /><Relationship Id="rId45" Type="http://schemas.openxmlformats.org/officeDocument/2006/relationships/chartsheet" Target="chartsheets/sheet30.xml" /><Relationship Id="rId46" Type="http://schemas.openxmlformats.org/officeDocument/2006/relationships/worksheet" Target="worksheets/sheet16.xml" /><Relationship Id="rId47" Type="http://schemas.openxmlformats.org/officeDocument/2006/relationships/chartsheet" Target="chartsheets/sheet31.xml" /><Relationship Id="rId48" Type="http://schemas.openxmlformats.org/officeDocument/2006/relationships/chartsheet" Target="chartsheets/sheet32.xml" /><Relationship Id="rId49" Type="http://schemas.openxmlformats.org/officeDocument/2006/relationships/worksheet" Target="worksheets/sheet17.xml" /><Relationship Id="rId50" Type="http://schemas.openxmlformats.org/officeDocument/2006/relationships/chartsheet" Target="chartsheets/sheet33.xml" /><Relationship Id="rId51" Type="http://schemas.openxmlformats.org/officeDocument/2006/relationships/chartsheet" Target="chartsheets/sheet34.xml" /><Relationship Id="rId52" Type="http://schemas.openxmlformats.org/officeDocument/2006/relationships/worksheet" Target="worksheets/sheet18.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DISTRICT 1
NON-CONTRACTED SUPPORT SERVICES</a:t>
            </a:r>
          </a:p>
        </c:rich>
      </c:tx>
      <c:layout>
        <c:manualLayout>
          <c:xMode val="factor"/>
          <c:yMode val="factor"/>
          <c:x val="0.04775"/>
          <c:y val="0"/>
        </c:manualLayout>
      </c:layout>
      <c:spPr>
        <a:noFill/>
        <a:ln>
          <a:noFill/>
        </a:ln>
      </c:spPr>
    </c:title>
    <c:plotArea>
      <c:layout>
        <c:manualLayout>
          <c:xMode val="edge"/>
          <c:yMode val="edge"/>
          <c:x val="0.011"/>
          <c:y val="0.06825"/>
          <c:w val="0.97775"/>
          <c:h val="0.924"/>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'D1'!$H$56:$H$79</c:f>
              <c:numCache>
                <c:ptCount val="24"/>
                <c:pt idx="0">
                  <c:v>32682</c:v>
                </c:pt>
                <c:pt idx="1">
                  <c:v>39538</c:v>
                </c:pt>
                <c:pt idx="2">
                  <c:v>44267</c:v>
                </c:pt>
                <c:pt idx="3">
                  <c:v>47693.8</c:v>
                </c:pt>
                <c:pt idx="4">
                  <c:v>49992.490000000005</c:v>
                </c:pt>
                <c:pt idx="5">
                  <c:v>55302.630000000005</c:v>
                </c:pt>
                <c:pt idx="6">
                  <c:v>61152.89000000001</c:v>
                </c:pt>
                <c:pt idx="7">
                  <c:v>67427.77</c:v>
                </c:pt>
                <c:pt idx="8">
                  <c:v>77259.29000000001</c:v>
                </c:pt>
                <c:pt idx="9">
                  <c:v>88155.77</c:v>
                </c:pt>
                <c:pt idx="10">
                  <c:v>97578.86</c:v>
                </c:pt>
                <c:pt idx="11">
                  <c:v>103215.86</c:v>
                </c:pt>
                <c:pt idx="12">
                  <c:v>112559.86</c:v>
                </c:pt>
                <c:pt idx="13">
                  <c:v>118160.86</c:v>
                </c:pt>
                <c:pt idx="14">
                  <c:v>121865.86</c:v>
                </c:pt>
                <c:pt idx="15">
                  <c:v>128308.86</c:v>
                </c:pt>
                <c:pt idx="16">
                  <c:v>131431.86</c:v>
                </c:pt>
                <c:pt idx="17">
                  <c:v>135490.86</c:v>
                </c:pt>
                <c:pt idx="18">
                  <c:v>145552.86</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'D1'!$C$56:$C$79</c:f>
              <c:numCache>
                <c:ptCount val="24"/>
                <c:pt idx="0">
                  <c:v>11728.041666666666</c:v>
                </c:pt>
                <c:pt idx="1">
                  <c:v>23456.083333333332</c:v>
                </c:pt>
                <c:pt idx="2">
                  <c:v>35184.125</c:v>
                </c:pt>
                <c:pt idx="3">
                  <c:v>46912.166666666664</c:v>
                </c:pt>
                <c:pt idx="4">
                  <c:v>58640.20833333333</c:v>
                </c:pt>
                <c:pt idx="5">
                  <c:v>70368.25</c:v>
                </c:pt>
                <c:pt idx="6">
                  <c:v>82096.29166666667</c:v>
                </c:pt>
                <c:pt idx="7">
                  <c:v>93824.33333333334</c:v>
                </c:pt>
                <c:pt idx="8">
                  <c:v>105552.37500000001</c:v>
                </c:pt>
                <c:pt idx="9">
                  <c:v>117280.41666666669</c:v>
                </c:pt>
                <c:pt idx="10">
                  <c:v>129008.45833333336</c:v>
                </c:pt>
                <c:pt idx="11">
                  <c:v>140736.50000000003</c:v>
                </c:pt>
                <c:pt idx="12">
                  <c:v>152464.5416666667</c:v>
                </c:pt>
                <c:pt idx="13">
                  <c:v>164192.58333333334</c:v>
                </c:pt>
                <c:pt idx="14">
                  <c:v>175920.625</c:v>
                </c:pt>
                <c:pt idx="15">
                  <c:v>187648.66666666666</c:v>
                </c:pt>
                <c:pt idx="16">
                  <c:v>199376.7083333333</c:v>
                </c:pt>
                <c:pt idx="17">
                  <c:v>211104.74999999997</c:v>
                </c:pt>
                <c:pt idx="18">
                  <c:v>222832.79166666663</c:v>
                </c:pt>
                <c:pt idx="19">
                  <c:v>234560.83333333328</c:v>
                </c:pt>
                <c:pt idx="20">
                  <c:v>246288.87499999994</c:v>
                </c:pt>
                <c:pt idx="21">
                  <c:v>258016.9166666666</c:v>
                </c:pt>
                <c:pt idx="22">
                  <c:v>269744.95833333326</c:v>
                </c:pt>
                <c:pt idx="23">
                  <c:v>281472.99999999994</c:v>
                </c:pt>
              </c:numCache>
            </c:numRef>
          </c:val>
        </c:ser>
        <c:axId val="32870061"/>
        <c:axId val="27395094"/>
      </c:barChart>
      <c:catAx>
        <c:axId val="328700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7395094"/>
        <c:crosses val="autoZero"/>
        <c:auto val="0"/>
        <c:lblOffset val="100"/>
        <c:tickLblSkip val="1"/>
        <c:noMultiLvlLbl val="0"/>
      </c:catAx>
      <c:valAx>
        <c:axId val="273950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70061"/>
        <c:crossesAt val="1"/>
        <c:crossBetween val="between"/>
        <c:dispUnits/>
      </c:valAx>
      <c:spPr>
        <a:noFill/>
        <a:ln w="12700">
          <a:solidFill>
            <a:srgbClr val="808080"/>
          </a:solidFill>
        </a:ln>
      </c:spPr>
    </c:plotArea>
    <c:legend>
      <c:legendPos val="r"/>
      <c:layout>
        <c:manualLayout>
          <c:xMode val="edge"/>
          <c:yMode val="edge"/>
          <c:x val="0.434"/>
          <c:y val="0.951"/>
          <c:w val="0.18575"/>
          <c:h val="0.04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5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922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'D5'!$G$56:$G$79</c:f>
              <c:numCache>
                <c:ptCount val="24"/>
                <c:pt idx="0">
                  <c:v>28397</c:v>
                </c:pt>
                <c:pt idx="1">
                  <c:v>38366</c:v>
                </c:pt>
                <c:pt idx="2">
                  <c:v>39117</c:v>
                </c:pt>
                <c:pt idx="3">
                  <c:v>48115.72</c:v>
                </c:pt>
                <c:pt idx="4">
                  <c:v>29948.62</c:v>
                </c:pt>
                <c:pt idx="5">
                  <c:v>27117.94</c:v>
                </c:pt>
                <c:pt idx="6">
                  <c:v>42028.54</c:v>
                </c:pt>
                <c:pt idx="7">
                  <c:v>39933.38</c:v>
                </c:pt>
                <c:pt idx="8">
                  <c:v>47474.16</c:v>
                </c:pt>
                <c:pt idx="9">
                  <c:v>36298.51</c:v>
                </c:pt>
                <c:pt idx="10">
                  <c:v>48346.06</c:v>
                </c:pt>
                <c:pt idx="11">
                  <c:v>46314</c:v>
                </c:pt>
                <c:pt idx="12">
                  <c:v>72814</c:v>
                </c:pt>
                <c:pt idx="13">
                  <c:v>62609</c:v>
                </c:pt>
                <c:pt idx="14">
                  <c:v>48415</c:v>
                </c:pt>
                <c:pt idx="15">
                  <c:v>66636</c:v>
                </c:pt>
                <c:pt idx="16">
                  <c:v>41949</c:v>
                </c:pt>
                <c:pt idx="17">
                  <c:v>47783</c:v>
                </c:pt>
                <c:pt idx="18">
                  <c:v>59131</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'D5'!$B$56:$B$79</c:f>
              <c:numCache>
                <c:ptCount val="24"/>
                <c:pt idx="0">
                  <c:v>55161.708333333336</c:v>
                </c:pt>
                <c:pt idx="1">
                  <c:v>55161.708333333336</c:v>
                </c:pt>
                <c:pt idx="2">
                  <c:v>55161.708333333336</c:v>
                </c:pt>
                <c:pt idx="3">
                  <c:v>55161.708333333336</c:v>
                </c:pt>
                <c:pt idx="4">
                  <c:v>55161.708333333336</c:v>
                </c:pt>
                <c:pt idx="5">
                  <c:v>55161.708333333336</c:v>
                </c:pt>
                <c:pt idx="6">
                  <c:v>55161.708333333336</c:v>
                </c:pt>
                <c:pt idx="7">
                  <c:v>55161.708333333336</c:v>
                </c:pt>
                <c:pt idx="8">
                  <c:v>55161.708333333336</c:v>
                </c:pt>
                <c:pt idx="9">
                  <c:v>55161.708333333336</c:v>
                </c:pt>
                <c:pt idx="10">
                  <c:v>55161.708333333336</c:v>
                </c:pt>
                <c:pt idx="11">
                  <c:v>55161.708333333336</c:v>
                </c:pt>
                <c:pt idx="12">
                  <c:v>55161.708333333336</c:v>
                </c:pt>
                <c:pt idx="13">
                  <c:v>55161.708333333336</c:v>
                </c:pt>
                <c:pt idx="14">
                  <c:v>55161.708333333336</c:v>
                </c:pt>
                <c:pt idx="15">
                  <c:v>55161.708333333336</c:v>
                </c:pt>
                <c:pt idx="16">
                  <c:v>55161.708333333336</c:v>
                </c:pt>
                <c:pt idx="17">
                  <c:v>55161.708333333336</c:v>
                </c:pt>
                <c:pt idx="18">
                  <c:v>55161.708333333336</c:v>
                </c:pt>
                <c:pt idx="19">
                  <c:v>55161.708333333336</c:v>
                </c:pt>
                <c:pt idx="20">
                  <c:v>55161.708333333336</c:v>
                </c:pt>
                <c:pt idx="21">
                  <c:v>55161.708333333336</c:v>
                </c:pt>
                <c:pt idx="22">
                  <c:v>55161.708333333336</c:v>
                </c:pt>
                <c:pt idx="23">
                  <c:v>55161.708333333336</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'D5'!$J$56:$J$79</c:f>
              <c:numCache>
                <c:ptCount val="24"/>
                <c:pt idx="0">
                  <c:v>28397</c:v>
                </c:pt>
                <c:pt idx="1">
                  <c:v>33381.5</c:v>
                </c:pt>
                <c:pt idx="2">
                  <c:v>35293.333333333336</c:v>
                </c:pt>
                <c:pt idx="3">
                  <c:v>38498.93</c:v>
                </c:pt>
                <c:pt idx="4">
                  <c:v>36788.868</c:v>
                </c:pt>
                <c:pt idx="5">
                  <c:v>35177.04666666667</c:v>
                </c:pt>
                <c:pt idx="6">
                  <c:v>36155.83142857143</c:v>
                </c:pt>
                <c:pt idx="7">
                  <c:v>36628.025</c:v>
                </c:pt>
                <c:pt idx="8">
                  <c:v>37833.15111111111</c:v>
                </c:pt>
                <c:pt idx="9">
                  <c:v>37679.687</c:v>
                </c:pt>
                <c:pt idx="10">
                  <c:v>38649.35727272727</c:v>
                </c:pt>
                <c:pt idx="11">
                  <c:v>39288.0775</c:v>
                </c:pt>
                <c:pt idx="12">
                  <c:v>41866.99461538461</c:v>
                </c:pt>
                <c:pt idx="13">
                  <c:v>43348.56642857142</c:v>
                </c:pt>
                <c:pt idx="14">
                  <c:v>43686.32866666666</c:v>
                </c:pt>
                <c:pt idx="15">
                  <c:v>45120.683124999996</c:v>
                </c:pt>
                <c:pt idx="16">
                  <c:v>44934.11352941176</c:v>
                </c:pt>
                <c:pt idx="17">
                  <c:v>45092.384999999995</c:v>
                </c:pt>
                <c:pt idx="18">
                  <c:v>45831.25947368421</c:v>
                </c:pt>
              </c:numCache>
            </c:numRef>
          </c:val>
          <c:smooth val="0"/>
        </c:ser>
        <c:marker val="1"/>
        <c:axId val="23491519"/>
        <c:axId val="10097080"/>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'D5'!$K$56:$K$79</c:f>
              <c:numCache>
                <c:ptCount val="24"/>
                <c:pt idx="0">
                  <c:v>1740</c:v>
                </c:pt>
                <c:pt idx="1">
                  <c:v>1693</c:v>
                </c:pt>
                <c:pt idx="2">
                  <c:v>1692</c:v>
                </c:pt>
                <c:pt idx="3">
                  <c:v>1677</c:v>
                </c:pt>
                <c:pt idx="4">
                  <c:v>1708</c:v>
                </c:pt>
                <c:pt idx="5">
                  <c:v>1706</c:v>
                </c:pt>
                <c:pt idx="6">
                  <c:v>1778</c:v>
                </c:pt>
                <c:pt idx="7">
                  <c:v>1758</c:v>
                </c:pt>
                <c:pt idx="8">
                  <c:v>1705</c:v>
                </c:pt>
                <c:pt idx="9">
                  <c:v>1694</c:v>
                </c:pt>
                <c:pt idx="10">
                  <c:v>1596</c:v>
                </c:pt>
                <c:pt idx="11">
                  <c:v>1567</c:v>
                </c:pt>
                <c:pt idx="12">
                  <c:v>1547</c:v>
                </c:pt>
                <c:pt idx="13">
                  <c:v>1535</c:v>
                </c:pt>
                <c:pt idx="14">
                  <c:v>1515</c:v>
                </c:pt>
                <c:pt idx="15">
                  <c:v>1531</c:v>
                </c:pt>
                <c:pt idx="16">
                  <c:v>1557</c:v>
                </c:pt>
                <c:pt idx="17">
                  <c:v>1538</c:v>
                </c:pt>
                <c:pt idx="18">
                  <c:v>1539</c:v>
                </c:pt>
              </c:numCache>
            </c:numRef>
          </c:val>
          <c:smooth val="0"/>
        </c:ser>
        <c:marker val="1"/>
        <c:axId val="23764857"/>
        <c:axId val="12557122"/>
      </c:lineChart>
      <c:catAx>
        <c:axId val="2349151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0097080"/>
        <c:crosses val="autoZero"/>
        <c:auto val="0"/>
        <c:lblOffset val="100"/>
        <c:tickLblSkip val="1"/>
        <c:noMultiLvlLbl val="0"/>
      </c:catAx>
      <c:valAx>
        <c:axId val="10097080"/>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3491519"/>
        <c:crossesAt val="1"/>
        <c:crossBetween val="between"/>
        <c:dispUnits/>
      </c:valAx>
      <c:catAx>
        <c:axId val="23764857"/>
        <c:scaling>
          <c:orientation val="minMax"/>
        </c:scaling>
        <c:axPos val="b"/>
        <c:delete val="1"/>
        <c:majorTickMark val="out"/>
        <c:minorTickMark val="none"/>
        <c:tickLblPos val="nextTo"/>
        <c:crossAx val="12557122"/>
        <c:crosses val="autoZero"/>
        <c:auto val="0"/>
        <c:lblOffset val="100"/>
        <c:tickLblSkip val="1"/>
        <c:noMultiLvlLbl val="0"/>
      </c:catAx>
      <c:valAx>
        <c:axId val="12557122"/>
        <c:scaling>
          <c:orientation val="minMax"/>
        </c:scaling>
        <c:axPos val="l"/>
        <c:delete val="0"/>
        <c:numFmt formatCode="General" sourceLinked="1"/>
        <c:majorTickMark val="cross"/>
        <c:minorTickMark val="none"/>
        <c:tickLblPos val="nextTo"/>
        <c:spPr>
          <a:ln w="3175">
            <a:solidFill>
              <a:srgbClr val="000000"/>
            </a:solidFill>
          </a:ln>
        </c:spPr>
        <c:crossAx val="23764857"/>
        <c:crosses val="max"/>
        <c:crossBetween val="between"/>
        <c:dispUnits/>
      </c:valAx>
      <c:spPr>
        <a:noFill/>
        <a:ln w="12700">
          <a:solidFill>
            <a:srgbClr val="808080"/>
          </a:solidFill>
        </a:ln>
      </c:spPr>
    </c:plotArea>
    <c:legend>
      <c:legendPos val="b"/>
      <c:layout>
        <c:manualLayout>
          <c:xMode val="edge"/>
          <c:yMode val="edge"/>
          <c:x val="0.27175"/>
          <c:y val="0.96125"/>
          <c:w val="0.45625"/>
          <c:h val="0.024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6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'D6'!$H$56:$H$79</c:f>
              <c:numCache>
                <c:ptCount val="24"/>
                <c:pt idx="0">
                  <c:v>7885</c:v>
                </c:pt>
                <c:pt idx="1">
                  <c:v>14624</c:v>
                </c:pt>
                <c:pt idx="2">
                  <c:v>21804</c:v>
                </c:pt>
                <c:pt idx="3">
                  <c:v>32206.41</c:v>
                </c:pt>
                <c:pt idx="4">
                  <c:v>43785.2</c:v>
                </c:pt>
                <c:pt idx="5">
                  <c:v>50206.35</c:v>
                </c:pt>
                <c:pt idx="6">
                  <c:v>63691.5</c:v>
                </c:pt>
                <c:pt idx="7">
                  <c:v>76249.73</c:v>
                </c:pt>
                <c:pt idx="8">
                  <c:v>91006.53</c:v>
                </c:pt>
                <c:pt idx="9">
                  <c:v>109167.92</c:v>
                </c:pt>
                <c:pt idx="10">
                  <c:v>130597.75</c:v>
                </c:pt>
                <c:pt idx="11">
                  <c:v>157310.75</c:v>
                </c:pt>
                <c:pt idx="12">
                  <c:v>189092.75</c:v>
                </c:pt>
                <c:pt idx="13">
                  <c:v>223938.75</c:v>
                </c:pt>
                <c:pt idx="14">
                  <c:v>251648.75</c:v>
                </c:pt>
                <c:pt idx="15">
                  <c:v>290389.75</c:v>
                </c:pt>
                <c:pt idx="16">
                  <c:v>321803.75</c:v>
                </c:pt>
                <c:pt idx="17">
                  <c:v>352291.75</c:v>
                </c:pt>
                <c:pt idx="18">
                  <c:v>380892.75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'D6'!$C$56:$C$79</c:f>
              <c:numCache>
                <c:ptCount val="24"/>
                <c:pt idx="0">
                  <c:v>26132.125</c:v>
                </c:pt>
                <c:pt idx="1">
                  <c:v>52264.25</c:v>
                </c:pt>
                <c:pt idx="2">
                  <c:v>78396.375</c:v>
                </c:pt>
                <c:pt idx="3">
                  <c:v>104528.5</c:v>
                </c:pt>
                <c:pt idx="4">
                  <c:v>130660.625</c:v>
                </c:pt>
                <c:pt idx="5">
                  <c:v>156792.75</c:v>
                </c:pt>
                <c:pt idx="6">
                  <c:v>182924.875</c:v>
                </c:pt>
                <c:pt idx="7">
                  <c:v>209057</c:v>
                </c:pt>
                <c:pt idx="8">
                  <c:v>235189.125</c:v>
                </c:pt>
                <c:pt idx="9">
                  <c:v>261321.25</c:v>
                </c:pt>
                <c:pt idx="10">
                  <c:v>287453.375</c:v>
                </c:pt>
                <c:pt idx="11">
                  <c:v>313585.5</c:v>
                </c:pt>
                <c:pt idx="12">
                  <c:v>339717.625</c:v>
                </c:pt>
                <c:pt idx="13">
                  <c:v>365849.75</c:v>
                </c:pt>
                <c:pt idx="14">
                  <c:v>391981.875</c:v>
                </c:pt>
                <c:pt idx="15">
                  <c:v>418114</c:v>
                </c:pt>
                <c:pt idx="16">
                  <c:v>444246.125</c:v>
                </c:pt>
                <c:pt idx="17">
                  <c:v>470378.25</c:v>
                </c:pt>
                <c:pt idx="18">
                  <c:v>496510.375</c:v>
                </c:pt>
                <c:pt idx="19">
                  <c:v>522642.5</c:v>
                </c:pt>
                <c:pt idx="20">
                  <c:v>548774.625</c:v>
                </c:pt>
                <c:pt idx="21">
                  <c:v>574906.75</c:v>
                </c:pt>
                <c:pt idx="22">
                  <c:v>601038.875</c:v>
                </c:pt>
                <c:pt idx="23">
                  <c:v>627171</c:v>
                </c:pt>
              </c:numCache>
            </c:numRef>
          </c:val>
        </c:ser>
        <c:overlap val="-25"/>
        <c:gapWidth val="75"/>
        <c:axId val="45905235"/>
        <c:axId val="10493932"/>
      </c:barChart>
      <c:catAx>
        <c:axId val="4590523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0493932"/>
        <c:crosses val="autoZero"/>
        <c:auto val="0"/>
        <c:lblOffset val="100"/>
        <c:tickLblSkip val="1"/>
        <c:noMultiLvlLbl val="0"/>
      </c:catAx>
      <c:valAx>
        <c:axId val="10493932"/>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5905235"/>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6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'D6'!$G$56:$G$79</c:f>
              <c:numCache>
                <c:ptCount val="24"/>
                <c:pt idx="0">
                  <c:v>7885</c:v>
                </c:pt>
                <c:pt idx="1">
                  <c:v>6739</c:v>
                </c:pt>
                <c:pt idx="2">
                  <c:v>7180</c:v>
                </c:pt>
                <c:pt idx="3">
                  <c:v>10402.41</c:v>
                </c:pt>
                <c:pt idx="4">
                  <c:v>11578.79</c:v>
                </c:pt>
                <c:pt idx="5">
                  <c:v>6421.15</c:v>
                </c:pt>
                <c:pt idx="6">
                  <c:v>13485.15</c:v>
                </c:pt>
                <c:pt idx="7">
                  <c:v>12558.23</c:v>
                </c:pt>
                <c:pt idx="8">
                  <c:v>14756.8</c:v>
                </c:pt>
                <c:pt idx="9">
                  <c:v>18161.39</c:v>
                </c:pt>
                <c:pt idx="10">
                  <c:v>21429.83</c:v>
                </c:pt>
                <c:pt idx="11">
                  <c:v>26713</c:v>
                </c:pt>
                <c:pt idx="12">
                  <c:v>31782</c:v>
                </c:pt>
                <c:pt idx="13">
                  <c:v>34846</c:v>
                </c:pt>
                <c:pt idx="14">
                  <c:v>27710</c:v>
                </c:pt>
                <c:pt idx="15">
                  <c:v>38741</c:v>
                </c:pt>
                <c:pt idx="16">
                  <c:v>31414</c:v>
                </c:pt>
                <c:pt idx="17">
                  <c:v>30488</c:v>
                </c:pt>
                <c:pt idx="18">
                  <c:v>28601</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'D6'!$B$56:$B$79</c:f>
              <c:numCache>
                <c:ptCount val="24"/>
                <c:pt idx="0">
                  <c:v>26132.125</c:v>
                </c:pt>
                <c:pt idx="1">
                  <c:v>26132.125</c:v>
                </c:pt>
                <c:pt idx="2">
                  <c:v>26132.125</c:v>
                </c:pt>
                <c:pt idx="3">
                  <c:v>26132.125</c:v>
                </c:pt>
                <c:pt idx="4">
                  <c:v>26132.125</c:v>
                </c:pt>
                <c:pt idx="5">
                  <c:v>26132.125</c:v>
                </c:pt>
                <c:pt idx="6">
                  <c:v>26132.125</c:v>
                </c:pt>
                <c:pt idx="7">
                  <c:v>26132.125</c:v>
                </c:pt>
                <c:pt idx="8">
                  <c:v>26132.125</c:v>
                </c:pt>
                <c:pt idx="9">
                  <c:v>26132.125</c:v>
                </c:pt>
                <c:pt idx="10">
                  <c:v>26132.125</c:v>
                </c:pt>
                <c:pt idx="11">
                  <c:v>26132.125</c:v>
                </c:pt>
                <c:pt idx="12">
                  <c:v>26132.125</c:v>
                </c:pt>
                <c:pt idx="13">
                  <c:v>26132.125</c:v>
                </c:pt>
                <c:pt idx="14">
                  <c:v>26132.125</c:v>
                </c:pt>
                <c:pt idx="15">
                  <c:v>26132.125</c:v>
                </c:pt>
                <c:pt idx="16">
                  <c:v>26132.125</c:v>
                </c:pt>
                <c:pt idx="17">
                  <c:v>26132.125</c:v>
                </c:pt>
                <c:pt idx="18">
                  <c:v>26132.125</c:v>
                </c:pt>
                <c:pt idx="19">
                  <c:v>26132.125</c:v>
                </c:pt>
                <c:pt idx="20">
                  <c:v>26132.125</c:v>
                </c:pt>
                <c:pt idx="21">
                  <c:v>26132.125</c:v>
                </c:pt>
                <c:pt idx="22">
                  <c:v>26132.125</c:v>
                </c:pt>
                <c:pt idx="23">
                  <c:v>26132.125</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'D6'!$J$56:$J$79</c:f>
              <c:numCache>
                <c:ptCount val="24"/>
                <c:pt idx="0">
                  <c:v>7885</c:v>
                </c:pt>
                <c:pt idx="1">
                  <c:v>7312</c:v>
                </c:pt>
                <c:pt idx="2">
                  <c:v>7268</c:v>
                </c:pt>
                <c:pt idx="3">
                  <c:v>8051.6025</c:v>
                </c:pt>
                <c:pt idx="4">
                  <c:v>8757.039999999999</c:v>
                </c:pt>
                <c:pt idx="5">
                  <c:v>8367.725</c:v>
                </c:pt>
                <c:pt idx="6">
                  <c:v>9098.785714285714</c:v>
                </c:pt>
                <c:pt idx="7">
                  <c:v>9531.21625</c:v>
                </c:pt>
                <c:pt idx="8">
                  <c:v>10111.836666666666</c:v>
                </c:pt>
                <c:pt idx="9">
                  <c:v>10916.792</c:v>
                </c:pt>
                <c:pt idx="10">
                  <c:v>11872.522727272728</c:v>
                </c:pt>
                <c:pt idx="11">
                  <c:v>13109.229166666666</c:v>
                </c:pt>
                <c:pt idx="12">
                  <c:v>14545.596153846154</c:v>
                </c:pt>
                <c:pt idx="13">
                  <c:v>15995.625</c:v>
                </c:pt>
                <c:pt idx="14">
                  <c:v>16776.583333333332</c:v>
                </c:pt>
                <c:pt idx="15">
                  <c:v>18149.359375</c:v>
                </c:pt>
                <c:pt idx="16">
                  <c:v>18929.632352941175</c:v>
                </c:pt>
                <c:pt idx="17">
                  <c:v>19571.76388888889</c:v>
                </c:pt>
                <c:pt idx="18">
                  <c:v>20046.986842105263</c:v>
                </c:pt>
              </c:numCache>
            </c:numRef>
          </c:val>
          <c:smooth val="0"/>
        </c:ser>
        <c:marker val="1"/>
        <c:axId val="27336525"/>
        <c:axId val="44702134"/>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'D6'!$K$56:$K$79</c:f>
              <c:numCache>
                <c:ptCount val="24"/>
                <c:pt idx="0">
                  <c:v>786</c:v>
                </c:pt>
                <c:pt idx="1">
                  <c:v>795</c:v>
                </c:pt>
                <c:pt idx="2">
                  <c:v>819</c:v>
                </c:pt>
                <c:pt idx="3">
                  <c:v>799</c:v>
                </c:pt>
                <c:pt idx="4">
                  <c:v>789</c:v>
                </c:pt>
                <c:pt idx="5">
                  <c:v>779</c:v>
                </c:pt>
                <c:pt idx="6">
                  <c:v>816</c:v>
                </c:pt>
                <c:pt idx="7">
                  <c:v>805</c:v>
                </c:pt>
                <c:pt idx="8">
                  <c:v>786</c:v>
                </c:pt>
                <c:pt idx="9">
                  <c:v>756</c:v>
                </c:pt>
                <c:pt idx="10">
                  <c:v>746</c:v>
                </c:pt>
                <c:pt idx="11">
                  <c:v>725</c:v>
                </c:pt>
                <c:pt idx="12">
                  <c:v>720</c:v>
                </c:pt>
                <c:pt idx="13">
                  <c:v>686</c:v>
                </c:pt>
                <c:pt idx="14">
                  <c:v>658</c:v>
                </c:pt>
                <c:pt idx="15">
                  <c:v>657</c:v>
                </c:pt>
                <c:pt idx="16">
                  <c:v>637</c:v>
                </c:pt>
                <c:pt idx="17">
                  <c:v>580</c:v>
                </c:pt>
                <c:pt idx="18">
                  <c:v>548</c:v>
                </c:pt>
              </c:numCache>
            </c:numRef>
          </c:val>
          <c:smooth val="0"/>
        </c:ser>
        <c:marker val="1"/>
        <c:axId val="66774887"/>
        <c:axId val="64103072"/>
      </c:lineChart>
      <c:catAx>
        <c:axId val="2733652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4702134"/>
        <c:crosses val="autoZero"/>
        <c:auto val="0"/>
        <c:lblOffset val="100"/>
        <c:tickLblSkip val="2"/>
        <c:noMultiLvlLbl val="0"/>
      </c:catAx>
      <c:valAx>
        <c:axId val="4470213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7336525"/>
        <c:crossesAt val="1"/>
        <c:crossBetween val="between"/>
        <c:dispUnits/>
      </c:valAx>
      <c:catAx>
        <c:axId val="66774887"/>
        <c:scaling>
          <c:orientation val="minMax"/>
        </c:scaling>
        <c:axPos val="b"/>
        <c:delete val="1"/>
        <c:majorTickMark val="out"/>
        <c:minorTickMark val="none"/>
        <c:tickLblPos val="nextTo"/>
        <c:crossAx val="64103072"/>
        <c:crosses val="autoZero"/>
        <c:auto val="0"/>
        <c:lblOffset val="100"/>
        <c:tickLblSkip val="1"/>
        <c:noMultiLvlLbl val="0"/>
      </c:catAx>
      <c:valAx>
        <c:axId val="64103072"/>
        <c:scaling>
          <c:orientation val="minMax"/>
        </c:scaling>
        <c:axPos val="l"/>
        <c:delete val="0"/>
        <c:numFmt formatCode="General" sourceLinked="1"/>
        <c:majorTickMark val="cross"/>
        <c:minorTickMark val="none"/>
        <c:tickLblPos val="nextTo"/>
        <c:spPr>
          <a:ln w="3175">
            <a:solidFill>
              <a:srgbClr val="000000"/>
            </a:solidFill>
          </a:ln>
        </c:spPr>
        <c:crossAx val="66774887"/>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7
NON-CONTRACTED SUPPORT SERVICES</a:t>
            </a:r>
          </a:p>
        </c:rich>
      </c:tx>
      <c:layout>
        <c:manualLayout>
          <c:xMode val="factor"/>
          <c:yMode val="factor"/>
          <c:x val="-0.001"/>
          <c:y val="-0.0065"/>
        </c:manualLayout>
      </c:layout>
      <c:spPr>
        <a:noFill/>
        <a:ln>
          <a:noFill/>
        </a:ln>
      </c:spPr>
    </c:title>
    <c:plotArea>
      <c:layout>
        <c:manualLayout>
          <c:xMode val="edge"/>
          <c:yMode val="edge"/>
          <c:x val="0.00825"/>
          <c:y val="0.15925"/>
          <c:w val="0.9745"/>
          <c:h val="0.790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'D7'!$H$56:$H$79</c:f>
              <c:numCache>
                <c:ptCount val="24"/>
                <c:pt idx="0">
                  <c:v>6835</c:v>
                </c:pt>
                <c:pt idx="1">
                  <c:v>14357</c:v>
                </c:pt>
                <c:pt idx="2">
                  <c:v>20237</c:v>
                </c:pt>
                <c:pt idx="3">
                  <c:v>24039.84</c:v>
                </c:pt>
                <c:pt idx="4">
                  <c:v>30469.09</c:v>
                </c:pt>
                <c:pt idx="5">
                  <c:v>34065.82</c:v>
                </c:pt>
                <c:pt idx="6">
                  <c:v>45407.79</c:v>
                </c:pt>
                <c:pt idx="7">
                  <c:v>51616.04</c:v>
                </c:pt>
                <c:pt idx="8">
                  <c:v>58534.2</c:v>
                </c:pt>
                <c:pt idx="9">
                  <c:v>67583.23999999999</c:v>
                </c:pt>
                <c:pt idx="10">
                  <c:v>76509.40999999999</c:v>
                </c:pt>
                <c:pt idx="11">
                  <c:v>83857.40999999999</c:v>
                </c:pt>
                <c:pt idx="12">
                  <c:v>95023.40999999999</c:v>
                </c:pt>
                <c:pt idx="13">
                  <c:v>106382.40999999999</c:v>
                </c:pt>
                <c:pt idx="14">
                  <c:v>113774.40999999999</c:v>
                </c:pt>
                <c:pt idx="15">
                  <c:v>119966.40999999999</c:v>
                </c:pt>
                <c:pt idx="16">
                  <c:v>125165.40999999999</c:v>
                </c:pt>
                <c:pt idx="17">
                  <c:v>129789.40999999999</c:v>
                </c:pt>
                <c:pt idx="18">
                  <c:v>138186.40999999997</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'D7'!$C$56:$C$79</c:f>
              <c:numCache>
                <c:ptCount val="24"/>
                <c:pt idx="0">
                  <c:v>8582.416666666666</c:v>
                </c:pt>
                <c:pt idx="1">
                  <c:v>17164.833333333332</c:v>
                </c:pt>
                <c:pt idx="2">
                  <c:v>25747.25</c:v>
                </c:pt>
                <c:pt idx="3">
                  <c:v>34329.666666666664</c:v>
                </c:pt>
                <c:pt idx="4">
                  <c:v>42912.08333333333</c:v>
                </c:pt>
                <c:pt idx="5">
                  <c:v>51494.49999999999</c:v>
                </c:pt>
                <c:pt idx="6">
                  <c:v>60076.91666666666</c:v>
                </c:pt>
                <c:pt idx="7">
                  <c:v>68659.33333333333</c:v>
                </c:pt>
                <c:pt idx="8">
                  <c:v>77241.75</c:v>
                </c:pt>
                <c:pt idx="9">
                  <c:v>85824.16666666667</c:v>
                </c:pt>
                <c:pt idx="10">
                  <c:v>94406.58333333334</c:v>
                </c:pt>
                <c:pt idx="11">
                  <c:v>102989.00000000001</c:v>
                </c:pt>
                <c:pt idx="12">
                  <c:v>111571.41666666669</c:v>
                </c:pt>
                <c:pt idx="13">
                  <c:v>120153.83333333336</c:v>
                </c:pt>
                <c:pt idx="14">
                  <c:v>128736.25000000003</c:v>
                </c:pt>
                <c:pt idx="15">
                  <c:v>137318.6666666667</c:v>
                </c:pt>
                <c:pt idx="16">
                  <c:v>145901.08333333334</c:v>
                </c:pt>
                <c:pt idx="17">
                  <c:v>154483.5</c:v>
                </c:pt>
                <c:pt idx="18">
                  <c:v>163065.91666666666</c:v>
                </c:pt>
                <c:pt idx="19">
                  <c:v>171648.3333333333</c:v>
                </c:pt>
                <c:pt idx="20">
                  <c:v>180230.74999999997</c:v>
                </c:pt>
                <c:pt idx="21">
                  <c:v>188813.16666666663</c:v>
                </c:pt>
                <c:pt idx="22">
                  <c:v>197395.58333333328</c:v>
                </c:pt>
                <c:pt idx="23">
                  <c:v>205977.99999999994</c:v>
                </c:pt>
              </c:numCache>
            </c:numRef>
          </c:val>
        </c:ser>
        <c:overlap val="-25"/>
        <c:gapWidth val="75"/>
        <c:axId val="40056737"/>
        <c:axId val="24966314"/>
      </c:barChart>
      <c:catAx>
        <c:axId val="40056737"/>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4966314"/>
        <c:crosses val="autoZero"/>
        <c:auto val="0"/>
        <c:lblOffset val="100"/>
        <c:tickLblSkip val="1"/>
        <c:noMultiLvlLbl val="0"/>
      </c:catAx>
      <c:valAx>
        <c:axId val="2496631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0056737"/>
        <c:crossesAt val="1"/>
        <c:crossBetween val="between"/>
        <c:dispUnits/>
      </c:valAx>
      <c:spPr>
        <a:noFill/>
        <a:ln w="12700">
          <a:solidFill>
            <a:srgbClr val="808080"/>
          </a:solidFill>
        </a:ln>
      </c:spPr>
    </c:plotArea>
    <c:legend>
      <c:legendPos val="b"/>
      <c:layout>
        <c:manualLayout>
          <c:xMode val="edge"/>
          <c:yMode val="edge"/>
          <c:x val="0.43825"/>
          <c:y val="0.96125"/>
          <c:w val="0.1235"/>
          <c:h val="0.024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7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'D7'!$G$56:$G$79</c:f>
              <c:numCache>
                <c:ptCount val="24"/>
                <c:pt idx="0">
                  <c:v>6835</c:v>
                </c:pt>
                <c:pt idx="1">
                  <c:v>7522</c:v>
                </c:pt>
                <c:pt idx="2">
                  <c:v>5880</c:v>
                </c:pt>
                <c:pt idx="3">
                  <c:v>3802.84</c:v>
                </c:pt>
                <c:pt idx="4">
                  <c:v>6429.25</c:v>
                </c:pt>
                <c:pt idx="5">
                  <c:v>3596.73</c:v>
                </c:pt>
                <c:pt idx="6">
                  <c:v>11341.97</c:v>
                </c:pt>
                <c:pt idx="7">
                  <c:v>6208.25</c:v>
                </c:pt>
                <c:pt idx="8">
                  <c:v>6918.16</c:v>
                </c:pt>
                <c:pt idx="9">
                  <c:v>9049.04</c:v>
                </c:pt>
                <c:pt idx="10">
                  <c:v>8926.17</c:v>
                </c:pt>
                <c:pt idx="11">
                  <c:v>7348</c:v>
                </c:pt>
                <c:pt idx="12">
                  <c:v>11166</c:v>
                </c:pt>
                <c:pt idx="13">
                  <c:v>11359</c:v>
                </c:pt>
                <c:pt idx="14">
                  <c:v>7392</c:v>
                </c:pt>
                <c:pt idx="15">
                  <c:v>6192</c:v>
                </c:pt>
                <c:pt idx="16">
                  <c:v>5199</c:v>
                </c:pt>
                <c:pt idx="17">
                  <c:v>4624</c:v>
                </c:pt>
                <c:pt idx="18">
                  <c:v>8397</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'D7'!$B$56:$B$79</c:f>
              <c:numCache>
                <c:ptCount val="24"/>
                <c:pt idx="0">
                  <c:v>8582.416666666666</c:v>
                </c:pt>
                <c:pt idx="1">
                  <c:v>8582.416666666666</c:v>
                </c:pt>
                <c:pt idx="2">
                  <c:v>8582.416666666666</c:v>
                </c:pt>
                <c:pt idx="3">
                  <c:v>8582.416666666666</c:v>
                </c:pt>
                <c:pt idx="4">
                  <c:v>8582.416666666666</c:v>
                </c:pt>
                <c:pt idx="5">
                  <c:v>8582.416666666666</c:v>
                </c:pt>
                <c:pt idx="6">
                  <c:v>8582.416666666666</c:v>
                </c:pt>
                <c:pt idx="7">
                  <c:v>8582.416666666666</c:v>
                </c:pt>
                <c:pt idx="8">
                  <c:v>8582.416666666666</c:v>
                </c:pt>
                <c:pt idx="9">
                  <c:v>8582.416666666666</c:v>
                </c:pt>
                <c:pt idx="10">
                  <c:v>8582.416666666666</c:v>
                </c:pt>
                <c:pt idx="11">
                  <c:v>8582.416666666666</c:v>
                </c:pt>
                <c:pt idx="12">
                  <c:v>8582.416666666666</c:v>
                </c:pt>
                <c:pt idx="13">
                  <c:v>8582.416666666666</c:v>
                </c:pt>
                <c:pt idx="14">
                  <c:v>8582.416666666666</c:v>
                </c:pt>
                <c:pt idx="15">
                  <c:v>8582.416666666666</c:v>
                </c:pt>
                <c:pt idx="16">
                  <c:v>8582.416666666666</c:v>
                </c:pt>
                <c:pt idx="17">
                  <c:v>8582.416666666666</c:v>
                </c:pt>
                <c:pt idx="18">
                  <c:v>8582.416666666666</c:v>
                </c:pt>
                <c:pt idx="19">
                  <c:v>8582.416666666666</c:v>
                </c:pt>
                <c:pt idx="20">
                  <c:v>8582.416666666666</c:v>
                </c:pt>
                <c:pt idx="21">
                  <c:v>8582.416666666666</c:v>
                </c:pt>
                <c:pt idx="22">
                  <c:v>8582.416666666666</c:v>
                </c:pt>
                <c:pt idx="23">
                  <c:v>8582.416666666666</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'D7'!$J$56:$J$79</c:f>
              <c:numCache>
                <c:ptCount val="24"/>
                <c:pt idx="0">
                  <c:v>6835</c:v>
                </c:pt>
                <c:pt idx="1">
                  <c:v>7178.5</c:v>
                </c:pt>
                <c:pt idx="2">
                  <c:v>6745.666666666667</c:v>
                </c:pt>
                <c:pt idx="3">
                  <c:v>6009.96</c:v>
                </c:pt>
                <c:pt idx="4">
                  <c:v>6093.818</c:v>
                </c:pt>
                <c:pt idx="5">
                  <c:v>5677.636666666666</c:v>
                </c:pt>
                <c:pt idx="6">
                  <c:v>6486.827142857143</c:v>
                </c:pt>
                <c:pt idx="7">
                  <c:v>6452.005</c:v>
                </c:pt>
                <c:pt idx="8">
                  <c:v>6503.799999999999</c:v>
                </c:pt>
                <c:pt idx="9">
                  <c:v>6758.323999999999</c:v>
                </c:pt>
                <c:pt idx="10">
                  <c:v>6955.4009090909085</c:v>
                </c:pt>
                <c:pt idx="11">
                  <c:v>6988.117499999999</c:v>
                </c:pt>
                <c:pt idx="12">
                  <c:v>7309.493076923076</c:v>
                </c:pt>
                <c:pt idx="13">
                  <c:v>7598.74357142857</c:v>
                </c:pt>
                <c:pt idx="14">
                  <c:v>7584.960666666666</c:v>
                </c:pt>
                <c:pt idx="15">
                  <c:v>7497.900624999999</c:v>
                </c:pt>
                <c:pt idx="16">
                  <c:v>7362.671176470588</c:v>
                </c:pt>
                <c:pt idx="17">
                  <c:v>7210.522777777777</c:v>
                </c:pt>
                <c:pt idx="18">
                  <c:v>7272.968947368419</c:v>
                </c:pt>
              </c:numCache>
            </c:numRef>
          </c:val>
          <c:smooth val="0"/>
        </c:ser>
        <c:marker val="1"/>
        <c:axId val="23370235"/>
        <c:axId val="9005524"/>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'D7'!$K$56:$K$79</c:f>
              <c:numCache>
                <c:ptCount val="24"/>
                <c:pt idx="0">
                  <c:v>489</c:v>
                </c:pt>
                <c:pt idx="1">
                  <c:v>481</c:v>
                </c:pt>
                <c:pt idx="2">
                  <c:v>474</c:v>
                </c:pt>
                <c:pt idx="3">
                  <c:v>461</c:v>
                </c:pt>
                <c:pt idx="4">
                  <c:v>477</c:v>
                </c:pt>
                <c:pt idx="5">
                  <c:v>478</c:v>
                </c:pt>
                <c:pt idx="6">
                  <c:v>473</c:v>
                </c:pt>
                <c:pt idx="7">
                  <c:v>467</c:v>
                </c:pt>
                <c:pt idx="8">
                  <c:v>444</c:v>
                </c:pt>
                <c:pt idx="9">
                  <c:v>432</c:v>
                </c:pt>
                <c:pt idx="10">
                  <c:v>420</c:v>
                </c:pt>
                <c:pt idx="11">
                  <c:v>427</c:v>
                </c:pt>
                <c:pt idx="12">
                  <c:v>423</c:v>
                </c:pt>
                <c:pt idx="13">
                  <c:v>423</c:v>
                </c:pt>
                <c:pt idx="14">
                  <c:v>397</c:v>
                </c:pt>
                <c:pt idx="15">
                  <c:v>402</c:v>
                </c:pt>
                <c:pt idx="16">
                  <c:v>386</c:v>
                </c:pt>
                <c:pt idx="17">
                  <c:v>404</c:v>
                </c:pt>
                <c:pt idx="18">
                  <c:v>399</c:v>
                </c:pt>
              </c:numCache>
            </c:numRef>
          </c:val>
          <c:smooth val="0"/>
        </c:ser>
        <c:marker val="1"/>
        <c:axId val="13940853"/>
        <c:axId val="58358814"/>
      </c:lineChart>
      <c:catAx>
        <c:axId val="2337023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9005524"/>
        <c:crosses val="autoZero"/>
        <c:auto val="0"/>
        <c:lblOffset val="100"/>
        <c:tickLblSkip val="2"/>
        <c:noMultiLvlLbl val="0"/>
      </c:catAx>
      <c:valAx>
        <c:axId val="900552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3370235"/>
        <c:crossesAt val="1"/>
        <c:crossBetween val="between"/>
        <c:dispUnits/>
      </c:valAx>
      <c:catAx>
        <c:axId val="13940853"/>
        <c:scaling>
          <c:orientation val="minMax"/>
        </c:scaling>
        <c:axPos val="b"/>
        <c:delete val="1"/>
        <c:majorTickMark val="out"/>
        <c:minorTickMark val="none"/>
        <c:tickLblPos val="nextTo"/>
        <c:crossAx val="58358814"/>
        <c:crosses val="autoZero"/>
        <c:auto val="0"/>
        <c:lblOffset val="100"/>
        <c:tickLblSkip val="1"/>
        <c:noMultiLvlLbl val="0"/>
      </c:catAx>
      <c:valAx>
        <c:axId val="58358814"/>
        <c:scaling>
          <c:orientation val="minMax"/>
        </c:scaling>
        <c:axPos val="l"/>
        <c:delete val="0"/>
        <c:numFmt formatCode="General" sourceLinked="1"/>
        <c:majorTickMark val="cross"/>
        <c:minorTickMark val="none"/>
        <c:tickLblPos val="nextTo"/>
        <c:spPr>
          <a:ln w="3175">
            <a:solidFill>
              <a:srgbClr val="000000"/>
            </a:solidFill>
          </a:ln>
        </c:spPr>
        <c:crossAx val="13940853"/>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8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'D8'!$H$56:$H$79</c:f>
              <c:numCache>
                <c:ptCount val="24"/>
                <c:pt idx="0">
                  <c:v>66655</c:v>
                </c:pt>
                <c:pt idx="1">
                  <c:v>139923</c:v>
                </c:pt>
                <c:pt idx="2">
                  <c:v>195107</c:v>
                </c:pt>
                <c:pt idx="3">
                  <c:v>259251.99</c:v>
                </c:pt>
                <c:pt idx="4">
                  <c:v>330331.58999999997</c:v>
                </c:pt>
                <c:pt idx="5">
                  <c:v>383625.93999999994</c:v>
                </c:pt>
                <c:pt idx="6">
                  <c:v>444946.35</c:v>
                </c:pt>
                <c:pt idx="7">
                  <c:v>522561.13999999996</c:v>
                </c:pt>
                <c:pt idx="8">
                  <c:v>603132.24</c:v>
                </c:pt>
                <c:pt idx="9">
                  <c:v>694101.57</c:v>
                </c:pt>
                <c:pt idx="10">
                  <c:v>782987.7899999999</c:v>
                </c:pt>
                <c:pt idx="11">
                  <c:v>903675.7899999999</c:v>
                </c:pt>
                <c:pt idx="12">
                  <c:v>1133085.79</c:v>
                </c:pt>
                <c:pt idx="13">
                  <c:v>1304491.79</c:v>
                </c:pt>
                <c:pt idx="14">
                  <c:v>1480867.79</c:v>
                </c:pt>
                <c:pt idx="15">
                  <c:v>1655710.79</c:v>
                </c:pt>
                <c:pt idx="16">
                  <c:v>1786975.79</c:v>
                </c:pt>
                <c:pt idx="17">
                  <c:v>1924423.79</c:v>
                </c:pt>
                <c:pt idx="18">
                  <c:v>2066210.79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'D8'!$C$56:$C$79</c:f>
              <c:numCache>
                <c:ptCount val="24"/>
                <c:pt idx="0">
                  <c:v>124188</c:v>
                </c:pt>
                <c:pt idx="1">
                  <c:v>248376</c:v>
                </c:pt>
                <c:pt idx="2">
                  <c:v>372564</c:v>
                </c:pt>
                <c:pt idx="3">
                  <c:v>496752</c:v>
                </c:pt>
                <c:pt idx="4">
                  <c:v>620940</c:v>
                </c:pt>
                <c:pt idx="5">
                  <c:v>745128</c:v>
                </c:pt>
                <c:pt idx="6">
                  <c:v>869316</c:v>
                </c:pt>
                <c:pt idx="7">
                  <c:v>993504</c:v>
                </c:pt>
                <c:pt idx="8">
                  <c:v>1117692</c:v>
                </c:pt>
                <c:pt idx="9">
                  <c:v>1241880</c:v>
                </c:pt>
                <c:pt idx="10">
                  <c:v>1366068</c:v>
                </c:pt>
                <c:pt idx="11">
                  <c:v>1490256</c:v>
                </c:pt>
                <c:pt idx="12">
                  <c:v>1614444</c:v>
                </c:pt>
                <c:pt idx="13">
                  <c:v>1738632</c:v>
                </c:pt>
                <c:pt idx="14">
                  <c:v>1862820</c:v>
                </c:pt>
                <c:pt idx="15">
                  <c:v>1987008</c:v>
                </c:pt>
                <c:pt idx="16">
                  <c:v>2111196</c:v>
                </c:pt>
                <c:pt idx="17">
                  <c:v>2235384</c:v>
                </c:pt>
                <c:pt idx="18">
                  <c:v>2359572</c:v>
                </c:pt>
                <c:pt idx="19">
                  <c:v>2483760</c:v>
                </c:pt>
                <c:pt idx="20">
                  <c:v>2607948</c:v>
                </c:pt>
                <c:pt idx="21">
                  <c:v>2732136</c:v>
                </c:pt>
                <c:pt idx="22">
                  <c:v>2856324</c:v>
                </c:pt>
                <c:pt idx="23">
                  <c:v>2980512</c:v>
                </c:pt>
              </c:numCache>
            </c:numRef>
          </c:val>
        </c:ser>
        <c:overlap val="-25"/>
        <c:gapWidth val="75"/>
        <c:axId val="55467279"/>
        <c:axId val="29443464"/>
      </c:barChart>
      <c:catAx>
        <c:axId val="5546727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9443464"/>
        <c:crosses val="autoZero"/>
        <c:auto val="0"/>
        <c:lblOffset val="100"/>
        <c:tickLblSkip val="1"/>
        <c:noMultiLvlLbl val="0"/>
      </c:catAx>
      <c:valAx>
        <c:axId val="2944346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55467279"/>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8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4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'D8'!$G$56:$G$79</c:f>
              <c:numCache>
                <c:ptCount val="24"/>
                <c:pt idx="0">
                  <c:v>66655</c:v>
                </c:pt>
                <c:pt idx="1">
                  <c:v>73268</c:v>
                </c:pt>
                <c:pt idx="2">
                  <c:v>55184</c:v>
                </c:pt>
                <c:pt idx="3">
                  <c:v>64144.99</c:v>
                </c:pt>
                <c:pt idx="4">
                  <c:v>71079.6</c:v>
                </c:pt>
                <c:pt idx="5">
                  <c:v>53294.35</c:v>
                </c:pt>
                <c:pt idx="6">
                  <c:v>61320.41</c:v>
                </c:pt>
                <c:pt idx="7">
                  <c:v>77614.79</c:v>
                </c:pt>
                <c:pt idx="8">
                  <c:v>80571.1</c:v>
                </c:pt>
                <c:pt idx="9">
                  <c:v>90969.33</c:v>
                </c:pt>
                <c:pt idx="10">
                  <c:v>88886.22</c:v>
                </c:pt>
                <c:pt idx="11">
                  <c:v>120688</c:v>
                </c:pt>
                <c:pt idx="12">
                  <c:v>229410</c:v>
                </c:pt>
                <c:pt idx="13">
                  <c:v>171406</c:v>
                </c:pt>
                <c:pt idx="14">
                  <c:v>176376</c:v>
                </c:pt>
                <c:pt idx="15">
                  <c:v>174843</c:v>
                </c:pt>
                <c:pt idx="16">
                  <c:v>131265</c:v>
                </c:pt>
                <c:pt idx="17">
                  <c:v>137448</c:v>
                </c:pt>
                <c:pt idx="18">
                  <c:v>141787</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'D8'!$B$56:$B$79</c:f>
              <c:numCache>
                <c:ptCount val="24"/>
                <c:pt idx="0">
                  <c:v>124188</c:v>
                </c:pt>
                <c:pt idx="1">
                  <c:v>124188</c:v>
                </c:pt>
                <c:pt idx="2">
                  <c:v>124188</c:v>
                </c:pt>
                <c:pt idx="3">
                  <c:v>124188</c:v>
                </c:pt>
                <c:pt idx="4">
                  <c:v>124188</c:v>
                </c:pt>
                <c:pt idx="5">
                  <c:v>124188</c:v>
                </c:pt>
                <c:pt idx="6">
                  <c:v>124188</c:v>
                </c:pt>
                <c:pt idx="7">
                  <c:v>124188</c:v>
                </c:pt>
                <c:pt idx="8">
                  <c:v>124188</c:v>
                </c:pt>
                <c:pt idx="9">
                  <c:v>124188</c:v>
                </c:pt>
                <c:pt idx="10">
                  <c:v>124188</c:v>
                </c:pt>
                <c:pt idx="11">
                  <c:v>124188</c:v>
                </c:pt>
                <c:pt idx="12">
                  <c:v>124188</c:v>
                </c:pt>
                <c:pt idx="13">
                  <c:v>124188</c:v>
                </c:pt>
                <c:pt idx="14">
                  <c:v>124188</c:v>
                </c:pt>
                <c:pt idx="15">
                  <c:v>124188</c:v>
                </c:pt>
                <c:pt idx="16">
                  <c:v>124188</c:v>
                </c:pt>
                <c:pt idx="17">
                  <c:v>124188</c:v>
                </c:pt>
                <c:pt idx="18">
                  <c:v>124188</c:v>
                </c:pt>
                <c:pt idx="19">
                  <c:v>124188</c:v>
                </c:pt>
                <c:pt idx="20">
                  <c:v>124188</c:v>
                </c:pt>
                <c:pt idx="21">
                  <c:v>124188</c:v>
                </c:pt>
                <c:pt idx="22">
                  <c:v>124188</c:v>
                </c:pt>
                <c:pt idx="23">
                  <c:v>124188</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'D8'!$J$56:$J$79</c:f>
              <c:numCache>
                <c:ptCount val="24"/>
                <c:pt idx="0">
                  <c:v>66655</c:v>
                </c:pt>
                <c:pt idx="1">
                  <c:v>69961.5</c:v>
                </c:pt>
                <c:pt idx="2">
                  <c:v>65035.666666666664</c:v>
                </c:pt>
                <c:pt idx="3">
                  <c:v>64812.9975</c:v>
                </c:pt>
                <c:pt idx="4">
                  <c:v>66066.318</c:v>
                </c:pt>
                <c:pt idx="5">
                  <c:v>63937.656666666655</c:v>
                </c:pt>
                <c:pt idx="6">
                  <c:v>63563.764285714286</c:v>
                </c:pt>
                <c:pt idx="7">
                  <c:v>65320.142499999994</c:v>
                </c:pt>
                <c:pt idx="8">
                  <c:v>67014.69333333333</c:v>
                </c:pt>
                <c:pt idx="9">
                  <c:v>69410.15699999999</c:v>
                </c:pt>
                <c:pt idx="10">
                  <c:v>71180.70818181818</c:v>
                </c:pt>
                <c:pt idx="11">
                  <c:v>75306.31583333333</c:v>
                </c:pt>
                <c:pt idx="12">
                  <c:v>87160.44538461539</c:v>
                </c:pt>
                <c:pt idx="13">
                  <c:v>93177.985</c:v>
                </c:pt>
                <c:pt idx="14">
                  <c:v>98724.51933333333</c:v>
                </c:pt>
                <c:pt idx="15">
                  <c:v>103481.924375</c:v>
                </c:pt>
                <c:pt idx="16">
                  <c:v>105116.22294117647</c:v>
                </c:pt>
                <c:pt idx="17">
                  <c:v>106912.43277777778</c:v>
                </c:pt>
                <c:pt idx="18">
                  <c:v>108747.93631578947</c:v>
                </c:pt>
              </c:numCache>
            </c:numRef>
          </c:val>
          <c:smooth val="0"/>
        </c:ser>
        <c:marker val="1"/>
        <c:axId val="63664585"/>
        <c:axId val="36110354"/>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'D8'!$K$56:$K$79</c:f>
              <c:numCache>
                <c:ptCount val="24"/>
                <c:pt idx="0">
                  <c:v>2070</c:v>
                </c:pt>
                <c:pt idx="1">
                  <c:v>2082</c:v>
                </c:pt>
                <c:pt idx="2">
                  <c:v>2048</c:v>
                </c:pt>
                <c:pt idx="3">
                  <c:v>1986</c:v>
                </c:pt>
                <c:pt idx="4">
                  <c:v>1987</c:v>
                </c:pt>
                <c:pt idx="5">
                  <c:v>1974</c:v>
                </c:pt>
                <c:pt idx="6">
                  <c:v>2016</c:v>
                </c:pt>
                <c:pt idx="7">
                  <c:v>2026</c:v>
                </c:pt>
                <c:pt idx="8">
                  <c:v>2018</c:v>
                </c:pt>
                <c:pt idx="9">
                  <c:v>2018</c:v>
                </c:pt>
                <c:pt idx="10">
                  <c:v>1965</c:v>
                </c:pt>
                <c:pt idx="11">
                  <c:v>1950</c:v>
                </c:pt>
                <c:pt idx="12">
                  <c:v>1955</c:v>
                </c:pt>
                <c:pt idx="13">
                  <c:v>1852</c:v>
                </c:pt>
                <c:pt idx="14">
                  <c:v>1785</c:v>
                </c:pt>
                <c:pt idx="15">
                  <c:v>1726</c:v>
                </c:pt>
                <c:pt idx="16">
                  <c:v>1681</c:v>
                </c:pt>
                <c:pt idx="17">
                  <c:v>1614</c:v>
                </c:pt>
                <c:pt idx="18">
                  <c:v>1600</c:v>
                </c:pt>
              </c:numCache>
            </c:numRef>
          </c:val>
          <c:smooth val="0"/>
        </c:ser>
        <c:marker val="1"/>
        <c:axId val="56557731"/>
        <c:axId val="39257532"/>
      </c:lineChart>
      <c:catAx>
        <c:axId val="6366458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6110354"/>
        <c:crosses val="autoZero"/>
        <c:auto val="0"/>
        <c:lblOffset val="100"/>
        <c:tickLblSkip val="2"/>
        <c:noMultiLvlLbl val="0"/>
      </c:catAx>
      <c:valAx>
        <c:axId val="3611035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3664585"/>
        <c:crossesAt val="1"/>
        <c:crossBetween val="between"/>
        <c:dispUnits/>
      </c:valAx>
      <c:catAx>
        <c:axId val="56557731"/>
        <c:scaling>
          <c:orientation val="minMax"/>
        </c:scaling>
        <c:axPos val="b"/>
        <c:delete val="1"/>
        <c:majorTickMark val="out"/>
        <c:minorTickMark val="none"/>
        <c:tickLblPos val="nextTo"/>
        <c:crossAx val="39257532"/>
        <c:crosses val="autoZero"/>
        <c:auto val="0"/>
        <c:lblOffset val="100"/>
        <c:tickLblSkip val="1"/>
        <c:noMultiLvlLbl val="0"/>
      </c:catAx>
      <c:valAx>
        <c:axId val="39257532"/>
        <c:scaling>
          <c:orientation val="minMax"/>
        </c:scaling>
        <c:axPos val="l"/>
        <c:delete val="0"/>
        <c:numFmt formatCode="General" sourceLinked="1"/>
        <c:majorTickMark val="cross"/>
        <c:minorTickMark val="none"/>
        <c:tickLblPos val="nextTo"/>
        <c:spPr>
          <a:ln w="3175">
            <a:solidFill>
              <a:srgbClr val="000000"/>
            </a:solidFill>
          </a:ln>
        </c:spPr>
        <c:crossAx val="56557731"/>
        <c:crosses val="max"/>
        <c:crossBetween val="between"/>
        <c:dispUnits/>
      </c:valAx>
      <c:spPr>
        <a:noFill/>
        <a:ln w="12700">
          <a:solidFill>
            <a:srgbClr val="808080"/>
          </a:solidFill>
        </a:ln>
      </c:spPr>
    </c:plotArea>
    <c:legend>
      <c:legendPos val="b"/>
      <c:layout>
        <c:manualLayout>
          <c:xMode val="edge"/>
          <c:yMode val="edge"/>
          <c:x val="0.2357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9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'D9'!$H$56:$H$79</c:f>
              <c:numCache>
                <c:ptCount val="24"/>
                <c:pt idx="0">
                  <c:v>3222</c:v>
                </c:pt>
                <c:pt idx="1">
                  <c:v>6461</c:v>
                </c:pt>
                <c:pt idx="2">
                  <c:v>9307</c:v>
                </c:pt>
                <c:pt idx="3">
                  <c:v>15695.8</c:v>
                </c:pt>
                <c:pt idx="4">
                  <c:v>20469.62</c:v>
                </c:pt>
                <c:pt idx="5">
                  <c:v>24874.47</c:v>
                </c:pt>
                <c:pt idx="6">
                  <c:v>29338.88</c:v>
                </c:pt>
                <c:pt idx="7">
                  <c:v>34336.44</c:v>
                </c:pt>
                <c:pt idx="8">
                  <c:v>36441.76</c:v>
                </c:pt>
                <c:pt idx="9">
                  <c:v>38723.76</c:v>
                </c:pt>
                <c:pt idx="10">
                  <c:v>39965.25</c:v>
                </c:pt>
                <c:pt idx="11">
                  <c:v>40763.25</c:v>
                </c:pt>
                <c:pt idx="12">
                  <c:v>41348.25</c:v>
                </c:pt>
                <c:pt idx="13">
                  <c:v>42073.25</c:v>
                </c:pt>
                <c:pt idx="14">
                  <c:v>43667.25</c:v>
                </c:pt>
                <c:pt idx="15">
                  <c:v>47156.25</c:v>
                </c:pt>
                <c:pt idx="16">
                  <c:v>48482.25</c:v>
                </c:pt>
                <c:pt idx="17">
                  <c:v>50014.25</c:v>
                </c:pt>
                <c:pt idx="18">
                  <c:v>52478.25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'D9'!$C$56:$C$79</c:f>
              <c:numCache>
                <c:ptCount val="24"/>
                <c:pt idx="0">
                  <c:v>4075.75</c:v>
                </c:pt>
                <c:pt idx="1">
                  <c:v>8151.5</c:v>
                </c:pt>
                <c:pt idx="2">
                  <c:v>12227.25</c:v>
                </c:pt>
                <c:pt idx="3">
                  <c:v>16303</c:v>
                </c:pt>
                <c:pt idx="4">
                  <c:v>20378.75</c:v>
                </c:pt>
                <c:pt idx="5">
                  <c:v>24454.5</c:v>
                </c:pt>
                <c:pt idx="6">
                  <c:v>28530.25</c:v>
                </c:pt>
                <c:pt idx="7">
                  <c:v>32606</c:v>
                </c:pt>
                <c:pt idx="8">
                  <c:v>36681.75</c:v>
                </c:pt>
                <c:pt idx="9">
                  <c:v>40757.5</c:v>
                </c:pt>
                <c:pt idx="10">
                  <c:v>44833.25</c:v>
                </c:pt>
                <c:pt idx="11">
                  <c:v>48909</c:v>
                </c:pt>
                <c:pt idx="12">
                  <c:v>52984.75</c:v>
                </c:pt>
                <c:pt idx="13">
                  <c:v>57060.5</c:v>
                </c:pt>
                <c:pt idx="14">
                  <c:v>61136.25</c:v>
                </c:pt>
                <c:pt idx="15">
                  <c:v>65212</c:v>
                </c:pt>
                <c:pt idx="16">
                  <c:v>69287.75</c:v>
                </c:pt>
                <c:pt idx="17">
                  <c:v>73363.5</c:v>
                </c:pt>
                <c:pt idx="18">
                  <c:v>77439.25</c:v>
                </c:pt>
                <c:pt idx="19">
                  <c:v>81515</c:v>
                </c:pt>
                <c:pt idx="20">
                  <c:v>85590.75</c:v>
                </c:pt>
                <c:pt idx="21">
                  <c:v>89666.5</c:v>
                </c:pt>
                <c:pt idx="22">
                  <c:v>93742.25</c:v>
                </c:pt>
                <c:pt idx="23">
                  <c:v>97818</c:v>
                </c:pt>
              </c:numCache>
            </c:numRef>
          </c:val>
        </c:ser>
        <c:overlap val="-25"/>
        <c:gapWidth val="75"/>
        <c:axId val="17773469"/>
        <c:axId val="25743494"/>
      </c:barChart>
      <c:catAx>
        <c:axId val="1777346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5743494"/>
        <c:crosses val="autoZero"/>
        <c:auto val="0"/>
        <c:lblOffset val="100"/>
        <c:tickLblSkip val="1"/>
        <c:noMultiLvlLbl val="0"/>
      </c:catAx>
      <c:valAx>
        <c:axId val="2574349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7773469"/>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9
NON-CONTRACTED SUPPORT SERVICES</a:t>
            </a:r>
          </a:p>
        </c:rich>
      </c:tx>
      <c:layout>
        <c:manualLayout>
          <c:xMode val="factor"/>
          <c:yMode val="factor"/>
          <c:x val="-0.001"/>
          <c:y val="-0.0065"/>
        </c:manualLayout>
      </c:layout>
      <c:spPr>
        <a:noFill/>
        <a:ln>
          <a:noFill/>
        </a:ln>
      </c:spPr>
    </c:title>
    <c:plotArea>
      <c:layout>
        <c:manualLayout>
          <c:xMode val="edge"/>
          <c:yMode val="edge"/>
          <c:x val="0.0105"/>
          <c:y val="0.1575"/>
          <c:w val="0.9772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'D9'!$G$56:$G$79</c:f>
              <c:numCache>
                <c:ptCount val="24"/>
                <c:pt idx="0">
                  <c:v>3222</c:v>
                </c:pt>
                <c:pt idx="1">
                  <c:v>3239</c:v>
                </c:pt>
                <c:pt idx="2">
                  <c:v>2846</c:v>
                </c:pt>
                <c:pt idx="3">
                  <c:v>6388.8</c:v>
                </c:pt>
                <c:pt idx="4">
                  <c:v>4773.82</c:v>
                </c:pt>
                <c:pt idx="5">
                  <c:v>4404.85</c:v>
                </c:pt>
                <c:pt idx="6">
                  <c:v>4464.41</c:v>
                </c:pt>
                <c:pt idx="7">
                  <c:v>4997.56</c:v>
                </c:pt>
                <c:pt idx="8">
                  <c:v>2105.32</c:v>
                </c:pt>
                <c:pt idx="9">
                  <c:v>2282</c:v>
                </c:pt>
                <c:pt idx="10">
                  <c:v>1241.49</c:v>
                </c:pt>
                <c:pt idx="11">
                  <c:v>798</c:v>
                </c:pt>
                <c:pt idx="12">
                  <c:v>585</c:v>
                </c:pt>
                <c:pt idx="13">
                  <c:v>725</c:v>
                </c:pt>
                <c:pt idx="14">
                  <c:v>1594</c:v>
                </c:pt>
                <c:pt idx="15">
                  <c:v>3489</c:v>
                </c:pt>
                <c:pt idx="16">
                  <c:v>1326</c:v>
                </c:pt>
                <c:pt idx="17">
                  <c:v>1532</c:v>
                </c:pt>
                <c:pt idx="18">
                  <c:v>2464</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'D9'!$B$56:$B$79</c:f>
              <c:numCache>
                <c:ptCount val="24"/>
                <c:pt idx="0">
                  <c:v>4075.75</c:v>
                </c:pt>
                <c:pt idx="1">
                  <c:v>4075.75</c:v>
                </c:pt>
                <c:pt idx="2">
                  <c:v>4075.75</c:v>
                </c:pt>
                <c:pt idx="3">
                  <c:v>4075.75</c:v>
                </c:pt>
                <c:pt idx="4">
                  <c:v>4075.75</c:v>
                </c:pt>
                <c:pt idx="5">
                  <c:v>4075.75</c:v>
                </c:pt>
                <c:pt idx="6">
                  <c:v>4075.75</c:v>
                </c:pt>
                <c:pt idx="7">
                  <c:v>4075.75</c:v>
                </c:pt>
                <c:pt idx="8">
                  <c:v>4075.75</c:v>
                </c:pt>
                <c:pt idx="9">
                  <c:v>4075.75</c:v>
                </c:pt>
                <c:pt idx="10">
                  <c:v>4075.75</c:v>
                </c:pt>
                <c:pt idx="11">
                  <c:v>4075.75</c:v>
                </c:pt>
                <c:pt idx="12">
                  <c:v>4075.75</c:v>
                </c:pt>
                <c:pt idx="13">
                  <c:v>4075.75</c:v>
                </c:pt>
                <c:pt idx="14">
                  <c:v>4075.75</c:v>
                </c:pt>
                <c:pt idx="15">
                  <c:v>4075.75</c:v>
                </c:pt>
                <c:pt idx="16">
                  <c:v>4075.75</c:v>
                </c:pt>
                <c:pt idx="17">
                  <c:v>4075.75</c:v>
                </c:pt>
                <c:pt idx="18">
                  <c:v>4075.75</c:v>
                </c:pt>
                <c:pt idx="19">
                  <c:v>4075.75</c:v>
                </c:pt>
                <c:pt idx="20">
                  <c:v>4075.75</c:v>
                </c:pt>
                <c:pt idx="21">
                  <c:v>4075.75</c:v>
                </c:pt>
                <c:pt idx="22">
                  <c:v>4075.75</c:v>
                </c:pt>
                <c:pt idx="23">
                  <c:v>4075.75</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'D9'!$J$56:$J$79</c:f>
              <c:numCache>
                <c:ptCount val="24"/>
                <c:pt idx="0">
                  <c:v>3222</c:v>
                </c:pt>
                <c:pt idx="1">
                  <c:v>3230.5</c:v>
                </c:pt>
                <c:pt idx="2">
                  <c:v>3102.3333333333335</c:v>
                </c:pt>
                <c:pt idx="3">
                  <c:v>3923.95</c:v>
                </c:pt>
                <c:pt idx="4">
                  <c:v>4093.924</c:v>
                </c:pt>
                <c:pt idx="5">
                  <c:v>4145.745</c:v>
                </c:pt>
                <c:pt idx="6">
                  <c:v>4191.268571428572</c:v>
                </c:pt>
                <c:pt idx="7">
                  <c:v>4292.055</c:v>
                </c:pt>
                <c:pt idx="8">
                  <c:v>4049.0844444444447</c:v>
                </c:pt>
                <c:pt idx="9">
                  <c:v>3872.376</c:v>
                </c:pt>
                <c:pt idx="10">
                  <c:v>3633.2045454545455</c:v>
                </c:pt>
                <c:pt idx="11">
                  <c:v>3396.9375</c:v>
                </c:pt>
                <c:pt idx="12">
                  <c:v>3180.6346153846152</c:v>
                </c:pt>
                <c:pt idx="13">
                  <c:v>3005.2321428571427</c:v>
                </c:pt>
                <c:pt idx="14">
                  <c:v>2911.15</c:v>
                </c:pt>
                <c:pt idx="15">
                  <c:v>2947.265625</c:v>
                </c:pt>
                <c:pt idx="16">
                  <c:v>2851.8970588235293</c:v>
                </c:pt>
                <c:pt idx="17">
                  <c:v>2778.5694444444443</c:v>
                </c:pt>
                <c:pt idx="18">
                  <c:v>2762.0131578947367</c:v>
                </c:pt>
              </c:numCache>
            </c:numRef>
          </c:val>
          <c:smooth val="0"/>
        </c:ser>
        <c:marker val="1"/>
        <c:axId val="30364855"/>
        <c:axId val="4848240"/>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'D9'!$K$56:$K$79</c:f>
              <c:numCache>
                <c:ptCount val="24"/>
                <c:pt idx="0">
                  <c:v>101</c:v>
                </c:pt>
                <c:pt idx="1">
                  <c:v>111</c:v>
                </c:pt>
                <c:pt idx="2">
                  <c:v>111</c:v>
                </c:pt>
                <c:pt idx="3">
                  <c:v>100</c:v>
                </c:pt>
                <c:pt idx="4">
                  <c:v>93</c:v>
                </c:pt>
                <c:pt idx="5">
                  <c:v>96</c:v>
                </c:pt>
                <c:pt idx="6">
                  <c:v>85</c:v>
                </c:pt>
                <c:pt idx="7">
                  <c:v>88</c:v>
                </c:pt>
                <c:pt idx="8">
                  <c:v>88</c:v>
                </c:pt>
                <c:pt idx="9">
                  <c:v>93</c:v>
                </c:pt>
                <c:pt idx="10">
                  <c:v>94</c:v>
                </c:pt>
                <c:pt idx="11">
                  <c:v>93</c:v>
                </c:pt>
                <c:pt idx="12">
                  <c:v>80</c:v>
                </c:pt>
                <c:pt idx="13">
                  <c:v>82</c:v>
                </c:pt>
                <c:pt idx="14">
                  <c:v>70</c:v>
                </c:pt>
                <c:pt idx="15">
                  <c:v>83</c:v>
                </c:pt>
                <c:pt idx="16">
                  <c:v>74</c:v>
                </c:pt>
                <c:pt idx="17">
                  <c:v>75</c:v>
                </c:pt>
                <c:pt idx="18">
                  <c:v>74</c:v>
                </c:pt>
              </c:numCache>
            </c:numRef>
          </c:val>
          <c:smooth val="0"/>
        </c:ser>
        <c:marker val="1"/>
        <c:axId val="43634161"/>
        <c:axId val="57163130"/>
      </c:lineChart>
      <c:catAx>
        <c:axId val="3036485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848240"/>
        <c:crosses val="autoZero"/>
        <c:auto val="0"/>
        <c:lblOffset val="100"/>
        <c:tickLblSkip val="2"/>
        <c:noMultiLvlLbl val="0"/>
      </c:catAx>
      <c:valAx>
        <c:axId val="4848240"/>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0364855"/>
        <c:crossesAt val="1"/>
        <c:crossBetween val="between"/>
        <c:dispUnits/>
      </c:valAx>
      <c:catAx>
        <c:axId val="43634161"/>
        <c:scaling>
          <c:orientation val="minMax"/>
        </c:scaling>
        <c:axPos val="b"/>
        <c:delete val="1"/>
        <c:majorTickMark val="out"/>
        <c:minorTickMark val="none"/>
        <c:tickLblPos val="nextTo"/>
        <c:crossAx val="57163130"/>
        <c:crosses val="autoZero"/>
        <c:auto val="0"/>
        <c:lblOffset val="100"/>
        <c:tickLblSkip val="1"/>
        <c:noMultiLvlLbl val="0"/>
      </c:catAx>
      <c:valAx>
        <c:axId val="57163130"/>
        <c:scaling>
          <c:orientation val="minMax"/>
        </c:scaling>
        <c:axPos val="l"/>
        <c:delete val="0"/>
        <c:numFmt formatCode="General" sourceLinked="1"/>
        <c:majorTickMark val="cross"/>
        <c:minorTickMark val="none"/>
        <c:tickLblPos val="nextTo"/>
        <c:spPr>
          <a:ln w="3175">
            <a:solidFill>
              <a:srgbClr val="000000"/>
            </a:solidFill>
          </a:ln>
        </c:spPr>
        <c:crossAx val="43634161"/>
        <c:crosses val="max"/>
        <c:crossBetween val="between"/>
        <c:dispUnits/>
      </c:valAx>
      <c:spPr>
        <a:noFill/>
        <a:ln w="12700">
          <a:solidFill>
            <a:srgbClr val="808080"/>
          </a:solidFill>
        </a:ln>
      </c:spPr>
    </c:plotArea>
    <c:legend>
      <c:legendPos val="b"/>
      <c:layout>
        <c:manualLayout>
          <c:xMode val="edge"/>
          <c:yMode val="edge"/>
          <c:x val="0.2357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10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'D10'!$H$56:$H$79</c:f>
              <c:numCache>
                <c:ptCount val="24"/>
                <c:pt idx="0">
                  <c:v>7048</c:v>
                </c:pt>
                <c:pt idx="1">
                  <c:v>14374</c:v>
                </c:pt>
                <c:pt idx="2">
                  <c:v>23440</c:v>
                </c:pt>
                <c:pt idx="3">
                  <c:v>33542.9</c:v>
                </c:pt>
                <c:pt idx="4">
                  <c:v>42223.3</c:v>
                </c:pt>
                <c:pt idx="5">
                  <c:v>55528.66</c:v>
                </c:pt>
                <c:pt idx="6">
                  <c:v>68608.81</c:v>
                </c:pt>
                <c:pt idx="7">
                  <c:v>88658.01</c:v>
                </c:pt>
                <c:pt idx="8">
                  <c:v>104058.4</c:v>
                </c:pt>
                <c:pt idx="9">
                  <c:v>129131.65</c:v>
                </c:pt>
                <c:pt idx="10">
                  <c:v>156755.44999999998</c:v>
                </c:pt>
                <c:pt idx="11">
                  <c:v>182584.44999999998</c:v>
                </c:pt>
                <c:pt idx="12">
                  <c:v>215237.44999999998</c:v>
                </c:pt>
                <c:pt idx="13">
                  <c:v>246014.44999999998</c:v>
                </c:pt>
                <c:pt idx="14">
                  <c:v>276149.44999999995</c:v>
                </c:pt>
                <c:pt idx="15">
                  <c:v>309734.44999999995</c:v>
                </c:pt>
                <c:pt idx="16">
                  <c:v>333230.44999999995</c:v>
                </c:pt>
                <c:pt idx="17">
                  <c:v>356672.44999999995</c:v>
                </c:pt>
                <c:pt idx="18">
                  <c:v>381044.44999999995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'D10'!$C$56:$C$79</c:f>
              <c:numCache>
                <c:ptCount val="24"/>
                <c:pt idx="0">
                  <c:v>20500.958333333332</c:v>
                </c:pt>
                <c:pt idx="1">
                  <c:v>41001.916666666664</c:v>
                </c:pt>
                <c:pt idx="2">
                  <c:v>61502.875</c:v>
                </c:pt>
                <c:pt idx="3">
                  <c:v>82003.83333333333</c:v>
                </c:pt>
                <c:pt idx="4">
                  <c:v>102504.79166666666</c:v>
                </c:pt>
                <c:pt idx="5">
                  <c:v>123005.74999999999</c:v>
                </c:pt>
                <c:pt idx="6">
                  <c:v>143506.7083333333</c:v>
                </c:pt>
                <c:pt idx="7">
                  <c:v>164007.66666666666</c:v>
                </c:pt>
                <c:pt idx="8">
                  <c:v>184508.625</c:v>
                </c:pt>
                <c:pt idx="9">
                  <c:v>205009.58333333334</c:v>
                </c:pt>
                <c:pt idx="10">
                  <c:v>225510.5416666667</c:v>
                </c:pt>
                <c:pt idx="11">
                  <c:v>246011.50000000003</c:v>
                </c:pt>
                <c:pt idx="12">
                  <c:v>266512.4583333334</c:v>
                </c:pt>
                <c:pt idx="13">
                  <c:v>287013.4166666667</c:v>
                </c:pt>
                <c:pt idx="14">
                  <c:v>307514.375</c:v>
                </c:pt>
                <c:pt idx="15">
                  <c:v>328015.3333333333</c:v>
                </c:pt>
                <c:pt idx="16">
                  <c:v>348516.2916666666</c:v>
                </c:pt>
                <c:pt idx="17">
                  <c:v>369017.24999999994</c:v>
                </c:pt>
                <c:pt idx="18">
                  <c:v>389518.20833333326</c:v>
                </c:pt>
                <c:pt idx="19">
                  <c:v>410019.16666666657</c:v>
                </c:pt>
                <c:pt idx="20">
                  <c:v>430520.1249999999</c:v>
                </c:pt>
                <c:pt idx="21">
                  <c:v>451021.0833333332</c:v>
                </c:pt>
                <c:pt idx="22">
                  <c:v>471522.0416666665</c:v>
                </c:pt>
                <c:pt idx="23">
                  <c:v>492022.9999999998</c:v>
                </c:pt>
              </c:numCache>
            </c:numRef>
          </c:val>
        </c:ser>
        <c:overlap val="-25"/>
        <c:gapWidth val="75"/>
        <c:axId val="44706123"/>
        <c:axId val="66810788"/>
      </c:barChart>
      <c:catAx>
        <c:axId val="44706123"/>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6810788"/>
        <c:crosses val="autoZero"/>
        <c:auto val="0"/>
        <c:lblOffset val="100"/>
        <c:tickLblSkip val="1"/>
        <c:noMultiLvlLbl val="0"/>
      </c:catAx>
      <c:valAx>
        <c:axId val="6681078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4706123"/>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77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'D1'!$G$56:$G$79</c:f>
              <c:numCache>
                <c:ptCount val="24"/>
                <c:pt idx="0">
                  <c:v>32682</c:v>
                </c:pt>
                <c:pt idx="1">
                  <c:v>6856</c:v>
                </c:pt>
                <c:pt idx="2">
                  <c:v>4729</c:v>
                </c:pt>
                <c:pt idx="3">
                  <c:v>3426.8</c:v>
                </c:pt>
                <c:pt idx="4">
                  <c:v>2298.69</c:v>
                </c:pt>
                <c:pt idx="5">
                  <c:v>5310.14</c:v>
                </c:pt>
                <c:pt idx="6">
                  <c:v>5850.26</c:v>
                </c:pt>
                <c:pt idx="7">
                  <c:v>6274.88</c:v>
                </c:pt>
                <c:pt idx="8">
                  <c:v>9831.52</c:v>
                </c:pt>
                <c:pt idx="9">
                  <c:v>10896.48</c:v>
                </c:pt>
                <c:pt idx="10">
                  <c:v>9423.09</c:v>
                </c:pt>
                <c:pt idx="11">
                  <c:v>5637</c:v>
                </c:pt>
                <c:pt idx="12">
                  <c:v>9344</c:v>
                </c:pt>
                <c:pt idx="13">
                  <c:v>5601</c:v>
                </c:pt>
                <c:pt idx="14">
                  <c:v>3705</c:v>
                </c:pt>
                <c:pt idx="15">
                  <c:v>6443</c:v>
                </c:pt>
                <c:pt idx="16">
                  <c:v>3123</c:v>
                </c:pt>
                <c:pt idx="17">
                  <c:v>4059</c:v>
                </c:pt>
                <c:pt idx="18">
                  <c:v>10062</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'D1'!$B$56:$B$79</c:f>
              <c:numCache>
                <c:ptCount val="24"/>
                <c:pt idx="0">
                  <c:v>11728.041666666666</c:v>
                </c:pt>
                <c:pt idx="1">
                  <c:v>11728.041666666666</c:v>
                </c:pt>
                <c:pt idx="2">
                  <c:v>11728.041666666666</c:v>
                </c:pt>
                <c:pt idx="3">
                  <c:v>11728.041666666666</c:v>
                </c:pt>
                <c:pt idx="4">
                  <c:v>11728.041666666666</c:v>
                </c:pt>
                <c:pt idx="5">
                  <c:v>11728.041666666666</c:v>
                </c:pt>
                <c:pt idx="6">
                  <c:v>11728.041666666666</c:v>
                </c:pt>
                <c:pt idx="7">
                  <c:v>11728.041666666666</c:v>
                </c:pt>
                <c:pt idx="8">
                  <c:v>11728.041666666666</c:v>
                </c:pt>
                <c:pt idx="9">
                  <c:v>11728.041666666666</c:v>
                </c:pt>
                <c:pt idx="10">
                  <c:v>11728.041666666666</c:v>
                </c:pt>
                <c:pt idx="11">
                  <c:v>11728.041666666666</c:v>
                </c:pt>
                <c:pt idx="12">
                  <c:v>11728.041666666666</c:v>
                </c:pt>
                <c:pt idx="13">
                  <c:v>11728.041666666666</c:v>
                </c:pt>
                <c:pt idx="14">
                  <c:v>11728.041666666666</c:v>
                </c:pt>
                <c:pt idx="15">
                  <c:v>11728.041666666666</c:v>
                </c:pt>
                <c:pt idx="16">
                  <c:v>11728.041666666666</c:v>
                </c:pt>
                <c:pt idx="17">
                  <c:v>11728.041666666666</c:v>
                </c:pt>
                <c:pt idx="18">
                  <c:v>11728.041666666666</c:v>
                </c:pt>
                <c:pt idx="19">
                  <c:v>11728.041666666666</c:v>
                </c:pt>
                <c:pt idx="20">
                  <c:v>11728.041666666666</c:v>
                </c:pt>
                <c:pt idx="21">
                  <c:v>11728.041666666666</c:v>
                </c:pt>
                <c:pt idx="22">
                  <c:v>11728.041666666666</c:v>
                </c:pt>
                <c:pt idx="23">
                  <c:v>11728.041666666666</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'D1'!$J$56:$J$79</c:f>
              <c:numCache>
                <c:ptCount val="24"/>
                <c:pt idx="0">
                  <c:v>32682</c:v>
                </c:pt>
                <c:pt idx="1">
                  <c:v>19769</c:v>
                </c:pt>
                <c:pt idx="2">
                  <c:v>14755.666666666666</c:v>
                </c:pt>
                <c:pt idx="3">
                  <c:v>11923.45</c:v>
                </c:pt>
                <c:pt idx="4">
                  <c:v>9998.498000000001</c:v>
                </c:pt>
                <c:pt idx="5">
                  <c:v>9217.105000000001</c:v>
                </c:pt>
                <c:pt idx="6">
                  <c:v>8736.127142857144</c:v>
                </c:pt>
                <c:pt idx="7">
                  <c:v>8428.47125</c:v>
                </c:pt>
                <c:pt idx="8">
                  <c:v>8584.365555555556</c:v>
                </c:pt>
                <c:pt idx="9">
                  <c:v>8815.577000000001</c:v>
                </c:pt>
                <c:pt idx="10">
                  <c:v>8870.805454545454</c:v>
                </c:pt>
                <c:pt idx="11">
                  <c:v>8601.321666666667</c:v>
                </c:pt>
                <c:pt idx="12">
                  <c:v>8658.450769230769</c:v>
                </c:pt>
                <c:pt idx="13">
                  <c:v>8440.06142857143</c:v>
                </c:pt>
                <c:pt idx="14">
                  <c:v>8124.390666666667</c:v>
                </c:pt>
                <c:pt idx="15">
                  <c:v>8019.30375</c:v>
                </c:pt>
                <c:pt idx="16">
                  <c:v>7731.2858823529405</c:v>
                </c:pt>
                <c:pt idx="17">
                  <c:v>7527.2699999999995</c:v>
                </c:pt>
                <c:pt idx="18">
                  <c:v>7660.676842105262</c:v>
                </c:pt>
              </c:numCache>
            </c:numRef>
          </c:val>
          <c:smooth val="0"/>
        </c:ser>
        <c:marker val="1"/>
        <c:axId val="45229255"/>
        <c:axId val="4410112"/>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'D1'!$K$56:$K$79</c:f>
              <c:numCache>
                <c:ptCount val="24"/>
                <c:pt idx="0">
                  <c:v>290</c:v>
                </c:pt>
                <c:pt idx="1">
                  <c:v>275</c:v>
                </c:pt>
                <c:pt idx="2">
                  <c:v>269</c:v>
                </c:pt>
                <c:pt idx="3">
                  <c:v>262</c:v>
                </c:pt>
                <c:pt idx="4">
                  <c:v>285</c:v>
                </c:pt>
                <c:pt idx="5">
                  <c:v>290</c:v>
                </c:pt>
                <c:pt idx="6">
                  <c:v>307</c:v>
                </c:pt>
                <c:pt idx="7">
                  <c:v>318</c:v>
                </c:pt>
                <c:pt idx="8">
                  <c:v>317</c:v>
                </c:pt>
                <c:pt idx="9">
                  <c:v>309</c:v>
                </c:pt>
                <c:pt idx="10">
                  <c:v>291</c:v>
                </c:pt>
                <c:pt idx="11">
                  <c:v>280</c:v>
                </c:pt>
                <c:pt idx="12">
                  <c:v>282</c:v>
                </c:pt>
                <c:pt idx="13">
                  <c:v>278</c:v>
                </c:pt>
                <c:pt idx="14">
                  <c:v>259</c:v>
                </c:pt>
                <c:pt idx="15">
                  <c:v>269</c:v>
                </c:pt>
                <c:pt idx="16">
                  <c:v>272</c:v>
                </c:pt>
                <c:pt idx="17">
                  <c:v>270</c:v>
                </c:pt>
                <c:pt idx="18">
                  <c:v>277</c:v>
                </c:pt>
              </c:numCache>
            </c:numRef>
          </c:val>
          <c:smooth val="0"/>
        </c:ser>
        <c:marker val="1"/>
        <c:axId val="39691009"/>
        <c:axId val="21674762"/>
      </c:lineChart>
      <c:catAx>
        <c:axId val="4522925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410112"/>
        <c:crosses val="autoZero"/>
        <c:auto val="0"/>
        <c:lblOffset val="100"/>
        <c:tickLblSkip val="2"/>
        <c:noMultiLvlLbl val="0"/>
      </c:catAx>
      <c:valAx>
        <c:axId val="4410112"/>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5229255"/>
        <c:crossesAt val="1"/>
        <c:crossBetween val="between"/>
        <c:dispUnits/>
      </c:valAx>
      <c:catAx>
        <c:axId val="39691009"/>
        <c:scaling>
          <c:orientation val="minMax"/>
        </c:scaling>
        <c:axPos val="b"/>
        <c:delete val="1"/>
        <c:majorTickMark val="out"/>
        <c:minorTickMark val="none"/>
        <c:tickLblPos val="nextTo"/>
        <c:crossAx val="21674762"/>
        <c:crosses val="autoZero"/>
        <c:auto val="0"/>
        <c:lblOffset val="100"/>
        <c:tickLblSkip val="1"/>
        <c:noMultiLvlLbl val="0"/>
      </c:catAx>
      <c:valAx>
        <c:axId val="21674762"/>
        <c:scaling>
          <c:orientation val="minMax"/>
        </c:scaling>
        <c:axPos val="l"/>
        <c:delete val="0"/>
        <c:numFmt formatCode="General" sourceLinked="1"/>
        <c:majorTickMark val="cross"/>
        <c:minorTickMark val="none"/>
        <c:tickLblPos val="nextTo"/>
        <c:spPr>
          <a:ln w="3175">
            <a:solidFill>
              <a:srgbClr val="000000"/>
            </a:solidFill>
          </a:ln>
        </c:spPr>
        <c:crossAx val="39691009"/>
        <c:crosses val="max"/>
        <c:crossBetween val="between"/>
        <c:dispUnits/>
      </c:valAx>
      <c:spPr>
        <a:noFill/>
        <a:ln w="12700">
          <a:solidFill>
            <a:srgbClr val="808080"/>
          </a:solidFill>
        </a:ln>
      </c:spPr>
    </c:plotArea>
    <c:legend>
      <c:legendPos val="b"/>
      <c:layout>
        <c:manualLayout>
          <c:xMode val="edge"/>
          <c:yMode val="edge"/>
          <c:x val="0.23725"/>
          <c:y val="0.95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10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'D10'!$G$56:$G$79</c:f>
              <c:numCache>
                <c:ptCount val="24"/>
                <c:pt idx="0">
                  <c:v>7048</c:v>
                </c:pt>
                <c:pt idx="1">
                  <c:v>7326</c:v>
                </c:pt>
                <c:pt idx="2">
                  <c:v>9066</c:v>
                </c:pt>
                <c:pt idx="3">
                  <c:v>10102.9</c:v>
                </c:pt>
                <c:pt idx="4">
                  <c:v>8680.4</c:v>
                </c:pt>
                <c:pt idx="5">
                  <c:v>13305.36</c:v>
                </c:pt>
                <c:pt idx="6">
                  <c:v>13080.15</c:v>
                </c:pt>
                <c:pt idx="7">
                  <c:v>20049.2</c:v>
                </c:pt>
                <c:pt idx="8">
                  <c:v>15400.39</c:v>
                </c:pt>
                <c:pt idx="9">
                  <c:v>25073.25</c:v>
                </c:pt>
                <c:pt idx="10">
                  <c:v>27623.8</c:v>
                </c:pt>
                <c:pt idx="11">
                  <c:v>25829</c:v>
                </c:pt>
                <c:pt idx="12">
                  <c:v>32653</c:v>
                </c:pt>
                <c:pt idx="13">
                  <c:v>30777</c:v>
                </c:pt>
                <c:pt idx="14">
                  <c:v>30135</c:v>
                </c:pt>
                <c:pt idx="15">
                  <c:v>33585</c:v>
                </c:pt>
                <c:pt idx="16">
                  <c:v>23496</c:v>
                </c:pt>
                <c:pt idx="17">
                  <c:v>23442</c:v>
                </c:pt>
                <c:pt idx="18">
                  <c:v>24372</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'D10'!$B$56:$B$79</c:f>
              <c:numCache>
                <c:ptCount val="24"/>
                <c:pt idx="0">
                  <c:v>20500.958333333332</c:v>
                </c:pt>
                <c:pt idx="1">
                  <c:v>20500.958333333332</c:v>
                </c:pt>
                <c:pt idx="2">
                  <c:v>20500.958333333332</c:v>
                </c:pt>
                <c:pt idx="3">
                  <c:v>20500.958333333332</c:v>
                </c:pt>
                <c:pt idx="4">
                  <c:v>20500.958333333332</c:v>
                </c:pt>
                <c:pt idx="5">
                  <c:v>20500.958333333332</c:v>
                </c:pt>
                <c:pt idx="6">
                  <c:v>20500.958333333332</c:v>
                </c:pt>
                <c:pt idx="7">
                  <c:v>20500.958333333332</c:v>
                </c:pt>
                <c:pt idx="8">
                  <c:v>20500.958333333332</c:v>
                </c:pt>
                <c:pt idx="9">
                  <c:v>20500.958333333332</c:v>
                </c:pt>
                <c:pt idx="10">
                  <c:v>20500.958333333332</c:v>
                </c:pt>
                <c:pt idx="11">
                  <c:v>20500.958333333332</c:v>
                </c:pt>
                <c:pt idx="12">
                  <c:v>20500.958333333332</c:v>
                </c:pt>
                <c:pt idx="13">
                  <c:v>20500.958333333332</c:v>
                </c:pt>
                <c:pt idx="14">
                  <c:v>20500.958333333332</c:v>
                </c:pt>
                <c:pt idx="15">
                  <c:v>20500.958333333332</c:v>
                </c:pt>
                <c:pt idx="16">
                  <c:v>20500.958333333332</c:v>
                </c:pt>
                <c:pt idx="17">
                  <c:v>20500.958333333332</c:v>
                </c:pt>
                <c:pt idx="18">
                  <c:v>20500.958333333332</c:v>
                </c:pt>
                <c:pt idx="19">
                  <c:v>20500.958333333332</c:v>
                </c:pt>
                <c:pt idx="20">
                  <c:v>20500.958333333332</c:v>
                </c:pt>
                <c:pt idx="21">
                  <c:v>20500.958333333332</c:v>
                </c:pt>
                <c:pt idx="22">
                  <c:v>20500.958333333332</c:v>
                </c:pt>
                <c:pt idx="23">
                  <c:v>20500.958333333332</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'D10'!$J$56:$J$79</c:f>
              <c:numCache>
                <c:ptCount val="24"/>
                <c:pt idx="0">
                  <c:v>7048</c:v>
                </c:pt>
                <c:pt idx="1">
                  <c:v>7187</c:v>
                </c:pt>
                <c:pt idx="2">
                  <c:v>7813.333333333333</c:v>
                </c:pt>
                <c:pt idx="3">
                  <c:v>8385.725</c:v>
                </c:pt>
                <c:pt idx="4">
                  <c:v>8444.66</c:v>
                </c:pt>
                <c:pt idx="5">
                  <c:v>9254.776666666667</c:v>
                </c:pt>
                <c:pt idx="6">
                  <c:v>9801.25857142857</c:v>
                </c:pt>
                <c:pt idx="7">
                  <c:v>11082.25125</c:v>
                </c:pt>
                <c:pt idx="8">
                  <c:v>11562.044444444444</c:v>
                </c:pt>
                <c:pt idx="9">
                  <c:v>12913.164999999999</c:v>
                </c:pt>
                <c:pt idx="10">
                  <c:v>14250.495454545453</c:v>
                </c:pt>
                <c:pt idx="11">
                  <c:v>15215.370833333332</c:v>
                </c:pt>
                <c:pt idx="12">
                  <c:v>16556.726923076923</c:v>
                </c:pt>
                <c:pt idx="13">
                  <c:v>17572.460714285713</c:v>
                </c:pt>
                <c:pt idx="14">
                  <c:v>18409.96333333333</c:v>
                </c:pt>
                <c:pt idx="15">
                  <c:v>19358.403124999997</c:v>
                </c:pt>
                <c:pt idx="16">
                  <c:v>19601.791176470586</c:v>
                </c:pt>
                <c:pt idx="17">
                  <c:v>19815.136111111107</c:v>
                </c:pt>
                <c:pt idx="18">
                  <c:v>20054.971052631576</c:v>
                </c:pt>
              </c:numCache>
            </c:numRef>
          </c:val>
          <c:smooth val="0"/>
        </c:ser>
        <c:marker val="1"/>
        <c:axId val="64426181"/>
        <c:axId val="42964718"/>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'D10'!$K$56:$K$79</c:f>
              <c:numCache>
                <c:ptCount val="24"/>
                <c:pt idx="0">
                  <c:v>1019</c:v>
                </c:pt>
                <c:pt idx="1">
                  <c:v>1023</c:v>
                </c:pt>
                <c:pt idx="2">
                  <c:v>1037</c:v>
                </c:pt>
                <c:pt idx="3">
                  <c:v>1034</c:v>
                </c:pt>
                <c:pt idx="4">
                  <c:v>1072</c:v>
                </c:pt>
                <c:pt idx="5">
                  <c:v>1070</c:v>
                </c:pt>
                <c:pt idx="6">
                  <c:v>1055</c:v>
                </c:pt>
                <c:pt idx="7">
                  <c:v>1067</c:v>
                </c:pt>
                <c:pt idx="8">
                  <c:v>1049</c:v>
                </c:pt>
                <c:pt idx="9">
                  <c:v>1055</c:v>
                </c:pt>
                <c:pt idx="10">
                  <c:v>982</c:v>
                </c:pt>
                <c:pt idx="11">
                  <c:v>940</c:v>
                </c:pt>
                <c:pt idx="12">
                  <c:v>897</c:v>
                </c:pt>
                <c:pt idx="13">
                  <c:v>866</c:v>
                </c:pt>
                <c:pt idx="14">
                  <c:v>814</c:v>
                </c:pt>
                <c:pt idx="15">
                  <c:v>761</c:v>
                </c:pt>
                <c:pt idx="16">
                  <c:v>691</c:v>
                </c:pt>
                <c:pt idx="17">
                  <c:v>643</c:v>
                </c:pt>
                <c:pt idx="18">
                  <c:v>651</c:v>
                </c:pt>
              </c:numCache>
            </c:numRef>
          </c:val>
          <c:smooth val="0"/>
        </c:ser>
        <c:marker val="1"/>
        <c:axId val="51138143"/>
        <c:axId val="57590104"/>
      </c:lineChart>
      <c:catAx>
        <c:axId val="64426181"/>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2964718"/>
        <c:crosses val="autoZero"/>
        <c:auto val="0"/>
        <c:lblOffset val="100"/>
        <c:tickLblSkip val="2"/>
        <c:noMultiLvlLbl val="0"/>
      </c:catAx>
      <c:valAx>
        <c:axId val="4296471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4426181"/>
        <c:crossesAt val="1"/>
        <c:crossBetween val="between"/>
        <c:dispUnits/>
      </c:valAx>
      <c:catAx>
        <c:axId val="51138143"/>
        <c:scaling>
          <c:orientation val="minMax"/>
        </c:scaling>
        <c:axPos val="b"/>
        <c:delete val="1"/>
        <c:majorTickMark val="out"/>
        <c:minorTickMark val="none"/>
        <c:tickLblPos val="nextTo"/>
        <c:crossAx val="57590104"/>
        <c:crosses val="autoZero"/>
        <c:auto val="0"/>
        <c:lblOffset val="100"/>
        <c:tickLblSkip val="1"/>
        <c:noMultiLvlLbl val="0"/>
      </c:catAx>
      <c:valAx>
        <c:axId val="57590104"/>
        <c:scaling>
          <c:orientation val="minMax"/>
        </c:scaling>
        <c:axPos val="l"/>
        <c:delete val="0"/>
        <c:numFmt formatCode="General" sourceLinked="1"/>
        <c:majorTickMark val="cross"/>
        <c:minorTickMark val="none"/>
        <c:tickLblPos val="nextTo"/>
        <c:spPr>
          <a:ln w="3175">
            <a:solidFill>
              <a:srgbClr val="000000"/>
            </a:solidFill>
          </a:ln>
        </c:spPr>
        <c:crossAx val="51138143"/>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11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'D11'!$H$56:$H$79</c:f>
              <c:numCache>
                <c:ptCount val="24"/>
                <c:pt idx="0">
                  <c:v>10616</c:v>
                </c:pt>
                <c:pt idx="1">
                  <c:v>31997</c:v>
                </c:pt>
                <c:pt idx="2">
                  <c:v>46649</c:v>
                </c:pt>
                <c:pt idx="3">
                  <c:v>57870.78</c:v>
                </c:pt>
                <c:pt idx="4">
                  <c:v>71595.14</c:v>
                </c:pt>
                <c:pt idx="5">
                  <c:v>86511.81</c:v>
                </c:pt>
                <c:pt idx="6">
                  <c:v>103278.81</c:v>
                </c:pt>
                <c:pt idx="7">
                  <c:v>120374.26</c:v>
                </c:pt>
                <c:pt idx="8">
                  <c:v>138098.86</c:v>
                </c:pt>
                <c:pt idx="9">
                  <c:v>154693.59</c:v>
                </c:pt>
                <c:pt idx="10">
                  <c:v>174927.65</c:v>
                </c:pt>
                <c:pt idx="11">
                  <c:v>194490.65</c:v>
                </c:pt>
                <c:pt idx="12">
                  <c:v>215933.65</c:v>
                </c:pt>
                <c:pt idx="13">
                  <c:v>233956.65</c:v>
                </c:pt>
                <c:pt idx="14">
                  <c:v>252006.65</c:v>
                </c:pt>
                <c:pt idx="15">
                  <c:v>274106.65</c:v>
                </c:pt>
                <c:pt idx="16">
                  <c:v>292215.65</c:v>
                </c:pt>
                <c:pt idx="17">
                  <c:v>312164.65</c:v>
                </c:pt>
                <c:pt idx="18">
                  <c:v>327947.65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'D11'!$C$56:$C$79</c:f>
              <c:numCache>
                <c:ptCount val="24"/>
                <c:pt idx="0">
                  <c:v>19898.083333333332</c:v>
                </c:pt>
                <c:pt idx="1">
                  <c:v>39796.166666666664</c:v>
                </c:pt>
                <c:pt idx="2">
                  <c:v>59694.25</c:v>
                </c:pt>
                <c:pt idx="3">
                  <c:v>79592.33333333333</c:v>
                </c:pt>
                <c:pt idx="4">
                  <c:v>99490.41666666666</c:v>
                </c:pt>
                <c:pt idx="5">
                  <c:v>119388.49999999999</c:v>
                </c:pt>
                <c:pt idx="6">
                  <c:v>139286.5833333333</c:v>
                </c:pt>
                <c:pt idx="7">
                  <c:v>159184.66666666666</c:v>
                </c:pt>
                <c:pt idx="8">
                  <c:v>179082.75</c:v>
                </c:pt>
                <c:pt idx="9">
                  <c:v>198980.83333333334</c:v>
                </c:pt>
                <c:pt idx="10">
                  <c:v>218878.9166666667</c:v>
                </c:pt>
                <c:pt idx="11">
                  <c:v>238777.00000000003</c:v>
                </c:pt>
                <c:pt idx="12">
                  <c:v>258675.08333333337</c:v>
                </c:pt>
                <c:pt idx="13">
                  <c:v>278573.1666666667</c:v>
                </c:pt>
                <c:pt idx="14">
                  <c:v>298471.25</c:v>
                </c:pt>
                <c:pt idx="15">
                  <c:v>318369.3333333333</c:v>
                </c:pt>
                <c:pt idx="16">
                  <c:v>338267.4166666666</c:v>
                </c:pt>
                <c:pt idx="17">
                  <c:v>358165.49999999994</c:v>
                </c:pt>
                <c:pt idx="18">
                  <c:v>378063.58333333326</c:v>
                </c:pt>
                <c:pt idx="19">
                  <c:v>397961.66666666657</c:v>
                </c:pt>
                <c:pt idx="20">
                  <c:v>417859.7499999999</c:v>
                </c:pt>
                <c:pt idx="21">
                  <c:v>437757.8333333332</c:v>
                </c:pt>
                <c:pt idx="22">
                  <c:v>457655.9166666665</c:v>
                </c:pt>
                <c:pt idx="23">
                  <c:v>477553.9999999998</c:v>
                </c:pt>
              </c:numCache>
            </c:numRef>
          </c:val>
        </c:ser>
        <c:overlap val="-25"/>
        <c:gapWidth val="75"/>
        <c:axId val="48548889"/>
        <c:axId val="34286818"/>
      </c:barChart>
      <c:catAx>
        <c:axId val="4854888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4286818"/>
        <c:crosses val="autoZero"/>
        <c:auto val="0"/>
        <c:lblOffset val="100"/>
        <c:tickLblSkip val="1"/>
        <c:noMultiLvlLbl val="0"/>
      </c:catAx>
      <c:valAx>
        <c:axId val="3428681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8548889"/>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11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'D11'!$G$56:$G$79</c:f>
              <c:numCache>
                <c:ptCount val="24"/>
                <c:pt idx="0">
                  <c:v>10616</c:v>
                </c:pt>
                <c:pt idx="1">
                  <c:v>21381</c:v>
                </c:pt>
                <c:pt idx="2">
                  <c:v>14652</c:v>
                </c:pt>
                <c:pt idx="3">
                  <c:v>11221.78</c:v>
                </c:pt>
                <c:pt idx="4">
                  <c:v>13724.36</c:v>
                </c:pt>
                <c:pt idx="5">
                  <c:v>14916.67</c:v>
                </c:pt>
                <c:pt idx="6">
                  <c:v>16767</c:v>
                </c:pt>
                <c:pt idx="7">
                  <c:v>17095.45</c:v>
                </c:pt>
                <c:pt idx="8">
                  <c:v>17724.6</c:v>
                </c:pt>
                <c:pt idx="9">
                  <c:v>16594.73</c:v>
                </c:pt>
                <c:pt idx="10">
                  <c:v>20234.06</c:v>
                </c:pt>
                <c:pt idx="11">
                  <c:v>19563</c:v>
                </c:pt>
                <c:pt idx="12">
                  <c:v>21443</c:v>
                </c:pt>
                <c:pt idx="13">
                  <c:v>18023</c:v>
                </c:pt>
                <c:pt idx="14">
                  <c:v>18050</c:v>
                </c:pt>
                <c:pt idx="15">
                  <c:v>22100</c:v>
                </c:pt>
                <c:pt idx="16">
                  <c:v>18109</c:v>
                </c:pt>
                <c:pt idx="17">
                  <c:v>19949</c:v>
                </c:pt>
                <c:pt idx="18">
                  <c:v>15783</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'D11'!$B$56:$B$79</c:f>
              <c:numCache>
                <c:ptCount val="24"/>
                <c:pt idx="0">
                  <c:v>19898.083333333332</c:v>
                </c:pt>
                <c:pt idx="1">
                  <c:v>19898.083333333332</c:v>
                </c:pt>
                <c:pt idx="2">
                  <c:v>19898.083333333332</c:v>
                </c:pt>
                <c:pt idx="3">
                  <c:v>19898.083333333332</c:v>
                </c:pt>
                <c:pt idx="4">
                  <c:v>19898.083333333332</c:v>
                </c:pt>
                <c:pt idx="5">
                  <c:v>19898.083333333332</c:v>
                </c:pt>
                <c:pt idx="6">
                  <c:v>19898.083333333332</c:v>
                </c:pt>
                <c:pt idx="7">
                  <c:v>19898.083333333332</c:v>
                </c:pt>
                <c:pt idx="8">
                  <c:v>19898.083333333332</c:v>
                </c:pt>
                <c:pt idx="9">
                  <c:v>19898.083333333332</c:v>
                </c:pt>
                <c:pt idx="10">
                  <c:v>19898.083333333332</c:v>
                </c:pt>
                <c:pt idx="11">
                  <c:v>19898.083333333332</c:v>
                </c:pt>
                <c:pt idx="12">
                  <c:v>19898.083333333332</c:v>
                </c:pt>
                <c:pt idx="13">
                  <c:v>19898.083333333332</c:v>
                </c:pt>
                <c:pt idx="14">
                  <c:v>19898.083333333332</c:v>
                </c:pt>
                <c:pt idx="15">
                  <c:v>19898.083333333332</c:v>
                </c:pt>
                <c:pt idx="16">
                  <c:v>19898.083333333332</c:v>
                </c:pt>
                <c:pt idx="17">
                  <c:v>19898.083333333332</c:v>
                </c:pt>
                <c:pt idx="18">
                  <c:v>19898.083333333332</c:v>
                </c:pt>
                <c:pt idx="19">
                  <c:v>19898.083333333332</c:v>
                </c:pt>
                <c:pt idx="20">
                  <c:v>19898.083333333332</c:v>
                </c:pt>
                <c:pt idx="21">
                  <c:v>19898.083333333332</c:v>
                </c:pt>
                <c:pt idx="22">
                  <c:v>19898.083333333332</c:v>
                </c:pt>
                <c:pt idx="23">
                  <c:v>19898.083333333332</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'D11'!$J$56:$J$79</c:f>
              <c:numCache>
                <c:ptCount val="24"/>
                <c:pt idx="0">
                  <c:v>10616</c:v>
                </c:pt>
                <c:pt idx="1">
                  <c:v>15998.5</c:v>
                </c:pt>
                <c:pt idx="2">
                  <c:v>15549.666666666666</c:v>
                </c:pt>
                <c:pt idx="3">
                  <c:v>14467.695</c:v>
                </c:pt>
                <c:pt idx="4">
                  <c:v>14319.028</c:v>
                </c:pt>
                <c:pt idx="5">
                  <c:v>14418.635</c:v>
                </c:pt>
                <c:pt idx="6">
                  <c:v>14754.115714285714</c:v>
                </c:pt>
                <c:pt idx="7">
                  <c:v>15046.7825</c:v>
                </c:pt>
                <c:pt idx="8">
                  <c:v>15344.317777777776</c:v>
                </c:pt>
                <c:pt idx="9">
                  <c:v>15469.359</c:v>
                </c:pt>
                <c:pt idx="10">
                  <c:v>15902.513636363636</c:v>
                </c:pt>
                <c:pt idx="11">
                  <c:v>16207.554166666667</c:v>
                </c:pt>
                <c:pt idx="12">
                  <c:v>16610.28076923077</c:v>
                </c:pt>
                <c:pt idx="13">
                  <c:v>16711.189285714285</c:v>
                </c:pt>
                <c:pt idx="14">
                  <c:v>16800.443333333333</c:v>
                </c:pt>
                <c:pt idx="15">
                  <c:v>17131.665625</c:v>
                </c:pt>
                <c:pt idx="16">
                  <c:v>17189.15588235294</c:v>
                </c:pt>
                <c:pt idx="17">
                  <c:v>17342.480555555558</c:v>
                </c:pt>
                <c:pt idx="18">
                  <c:v>17260.40263157895</c:v>
                </c:pt>
              </c:numCache>
            </c:numRef>
          </c:val>
          <c:smooth val="0"/>
        </c:ser>
        <c:marker val="1"/>
        <c:axId val="40145907"/>
        <c:axId val="25768844"/>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'D11'!$K$56:$K$79</c:f>
              <c:numCache>
                <c:ptCount val="24"/>
                <c:pt idx="0">
                  <c:v>301</c:v>
                </c:pt>
                <c:pt idx="1">
                  <c:v>305</c:v>
                </c:pt>
                <c:pt idx="2">
                  <c:v>287</c:v>
                </c:pt>
                <c:pt idx="3">
                  <c:v>265</c:v>
                </c:pt>
                <c:pt idx="4">
                  <c:v>299</c:v>
                </c:pt>
                <c:pt idx="5">
                  <c:v>304</c:v>
                </c:pt>
                <c:pt idx="6">
                  <c:v>315</c:v>
                </c:pt>
                <c:pt idx="7">
                  <c:v>303</c:v>
                </c:pt>
                <c:pt idx="8">
                  <c:v>281</c:v>
                </c:pt>
                <c:pt idx="9">
                  <c:v>293</c:v>
                </c:pt>
                <c:pt idx="10">
                  <c:v>288</c:v>
                </c:pt>
                <c:pt idx="11">
                  <c:v>260</c:v>
                </c:pt>
                <c:pt idx="12">
                  <c:v>257</c:v>
                </c:pt>
                <c:pt idx="13">
                  <c:v>257</c:v>
                </c:pt>
                <c:pt idx="14">
                  <c:v>233</c:v>
                </c:pt>
                <c:pt idx="15">
                  <c:v>249</c:v>
                </c:pt>
                <c:pt idx="16">
                  <c:v>235</c:v>
                </c:pt>
                <c:pt idx="17">
                  <c:v>236</c:v>
                </c:pt>
                <c:pt idx="18">
                  <c:v>236</c:v>
                </c:pt>
              </c:numCache>
            </c:numRef>
          </c:val>
          <c:smooth val="0"/>
        </c:ser>
        <c:marker val="1"/>
        <c:axId val="30593005"/>
        <c:axId val="6901590"/>
      </c:lineChart>
      <c:catAx>
        <c:axId val="40145907"/>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5768844"/>
        <c:crosses val="autoZero"/>
        <c:auto val="0"/>
        <c:lblOffset val="100"/>
        <c:tickLblSkip val="2"/>
        <c:noMultiLvlLbl val="0"/>
      </c:catAx>
      <c:valAx>
        <c:axId val="2576884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0145907"/>
        <c:crossesAt val="1"/>
        <c:crossBetween val="between"/>
        <c:dispUnits/>
      </c:valAx>
      <c:catAx>
        <c:axId val="30593005"/>
        <c:scaling>
          <c:orientation val="minMax"/>
        </c:scaling>
        <c:axPos val="b"/>
        <c:delete val="1"/>
        <c:majorTickMark val="out"/>
        <c:minorTickMark val="none"/>
        <c:tickLblPos val="nextTo"/>
        <c:crossAx val="6901590"/>
        <c:crosses val="autoZero"/>
        <c:auto val="0"/>
        <c:lblOffset val="100"/>
        <c:tickLblSkip val="1"/>
        <c:noMultiLvlLbl val="0"/>
      </c:catAx>
      <c:valAx>
        <c:axId val="6901590"/>
        <c:scaling>
          <c:orientation val="minMax"/>
        </c:scaling>
        <c:axPos val="l"/>
        <c:delete val="0"/>
        <c:numFmt formatCode="General" sourceLinked="1"/>
        <c:majorTickMark val="cross"/>
        <c:minorTickMark val="none"/>
        <c:tickLblPos val="nextTo"/>
        <c:spPr>
          <a:ln w="3175">
            <a:solidFill>
              <a:srgbClr val="000000"/>
            </a:solidFill>
          </a:ln>
        </c:spPr>
        <c:crossAx val="30593005"/>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12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'D12'!$H$56:$H$79</c:f>
              <c:numCache>
                <c:ptCount val="24"/>
                <c:pt idx="0">
                  <c:v>5061</c:v>
                </c:pt>
                <c:pt idx="1">
                  <c:v>8018</c:v>
                </c:pt>
                <c:pt idx="2">
                  <c:v>9994</c:v>
                </c:pt>
                <c:pt idx="3">
                  <c:v>12869.75</c:v>
                </c:pt>
                <c:pt idx="4">
                  <c:v>15370.72</c:v>
                </c:pt>
                <c:pt idx="5">
                  <c:v>17751.67</c:v>
                </c:pt>
                <c:pt idx="6">
                  <c:v>20946.589999999997</c:v>
                </c:pt>
                <c:pt idx="7">
                  <c:v>24862.859999999997</c:v>
                </c:pt>
                <c:pt idx="8">
                  <c:v>29878.03</c:v>
                </c:pt>
                <c:pt idx="9">
                  <c:v>39346.9</c:v>
                </c:pt>
                <c:pt idx="10">
                  <c:v>47164.79</c:v>
                </c:pt>
                <c:pt idx="11">
                  <c:v>55058.79</c:v>
                </c:pt>
                <c:pt idx="12">
                  <c:v>65239.79</c:v>
                </c:pt>
                <c:pt idx="13">
                  <c:v>77231.79000000001</c:v>
                </c:pt>
                <c:pt idx="14">
                  <c:v>82671.79000000001</c:v>
                </c:pt>
                <c:pt idx="15">
                  <c:v>89508.79000000001</c:v>
                </c:pt>
                <c:pt idx="16">
                  <c:v>93621.79000000001</c:v>
                </c:pt>
                <c:pt idx="17">
                  <c:v>100506.79000000001</c:v>
                </c:pt>
                <c:pt idx="18">
                  <c:v>105280.79000000001</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'D12'!$C$56:$C$79</c:f>
              <c:numCache>
                <c:ptCount val="24"/>
                <c:pt idx="0">
                  <c:v>8161.083333333333</c:v>
                </c:pt>
                <c:pt idx="1">
                  <c:v>16322.166666666666</c:v>
                </c:pt>
                <c:pt idx="2">
                  <c:v>24483.25</c:v>
                </c:pt>
                <c:pt idx="3">
                  <c:v>32644.333333333332</c:v>
                </c:pt>
                <c:pt idx="4">
                  <c:v>40805.416666666664</c:v>
                </c:pt>
                <c:pt idx="5">
                  <c:v>48966.5</c:v>
                </c:pt>
                <c:pt idx="6">
                  <c:v>57127.583333333336</c:v>
                </c:pt>
                <c:pt idx="7">
                  <c:v>65288.66666666667</c:v>
                </c:pt>
                <c:pt idx="8">
                  <c:v>73449.75</c:v>
                </c:pt>
                <c:pt idx="9">
                  <c:v>81610.83333333333</c:v>
                </c:pt>
                <c:pt idx="10">
                  <c:v>89771.91666666666</c:v>
                </c:pt>
                <c:pt idx="11">
                  <c:v>97932.99999999999</c:v>
                </c:pt>
                <c:pt idx="12">
                  <c:v>106094.08333333331</c:v>
                </c:pt>
                <c:pt idx="13">
                  <c:v>114255.16666666664</c:v>
                </c:pt>
                <c:pt idx="14">
                  <c:v>122416.24999999997</c:v>
                </c:pt>
                <c:pt idx="15">
                  <c:v>130577.3333333333</c:v>
                </c:pt>
                <c:pt idx="16">
                  <c:v>138738.41666666663</c:v>
                </c:pt>
                <c:pt idx="17">
                  <c:v>146899.49999999997</c:v>
                </c:pt>
                <c:pt idx="18">
                  <c:v>155060.5833333333</c:v>
                </c:pt>
                <c:pt idx="19">
                  <c:v>163221.66666666666</c:v>
                </c:pt>
                <c:pt idx="20">
                  <c:v>171382.75</c:v>
                </c:pt>
                <c:pt idx="21">
                  <c:v>179543.83333333334</c:v>
                </c:pt>
                <c:pt idx="22">
                  <c:v>187704.9166666667</c:v>
                </c:pt>
                <c:pt idx="23">
                  <c:v>195866.00000000003</c:v>
                </c:pt>
              </c:numCache>
            </c:numRef>
          </c:val>
        </c:ser>
        <c:overlap val="-25"/>
        <c:gapWidth val="75"/>
        <c:axId val="62114311"/>
        <c:axId val="22157888"/>
      </c:barChart>
      <c:catAx>
        <c:axId val="62114311"/>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2157888"/>
        <c:crosses val="autoZero"/>
        <c:auto val="0"/>
        <c:lblOffset val="100"/>
        <c:tickLblSkip val="1"/>
        <c:noMultiLvlLbl val="0"/>
      </c:catAx>
      <c:valAx>
        <c:axId val="2215788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2114311"/>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12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'D12'!$G$56:$G$79</c:f>
              <c:numCache>
                <c:ptCount val="24"/>
                <c:pt idx="0">
                  <c:v>5061</c:v>
                </c:pt>
                <c:pt idx="1">
                  <c:v>2957</c:v>
                </c:pt>
                <c:pt idx="2">
                  <c:v>1976</c:v>
                </c:pt>
                <c:pt idx="3">
                  <c:v>2875.75</c:v>
                </c:pt>
                <c:pt idx="4">
                  <c:v>2500.97</c:v>
                </c:pt>
                <c:pt idx="5">
                  <c:v>2380.95</c:v>
                </c:pt>
                <c:pt idx="6">
                  <c:v>3194.92</c:v>
                </c:pt>
                <c:pt idx="7">
                  <c:v>3916.27</c:v>
                </c:pt>
                <c:pt idx="8">
                  <c:v>5015.17</c:v>
                </c:pt>
                <c:pt idx="9">
                  <c:v>9468.87</c:v>
                </c:pt>
                <c:pt idx="10">
                  <c:v>7817.89</c:v>
                </c:pt>
                <c:pt idx="11">
                  <c:v>7894</c:v>
                </c:pt>
                <c:pt idx="12">
                  <c:v>10181</c:v>
                </c:pt>
                <c:pt idx="13">
                  <c:v>11992</c:v>
                </c:pt>
                <c:pt idx="14">
                  <c:v>5440</c:v>
                </c:pt>
                <c:pt idx="15">
                  <c:v>6837</c:v>
                </c:pt>
                <c:pt idx="16">
                  <c:v>4113</c:v>
                </c:pt>
                <c:pt idx="17">
                  <c:v>6885</c:v>
                </c:pt>
                <c:pt idx="18">
                  <c:v>4774</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'D12'!$B$56:$B$79</c:f>
              <c:numCache>
                <c:ptCount val="24"/>
                <c:pt idx="0">
                  <c:v>8161.083333333333</c:v>
                </c:pt>
                <c:pt idx="1">
                  <c:v>8161.083333333333</c:v>
                </c:pt>
                <c:pt idx="2">
                  <c:v>8161.083333333333</c:v>
                </c:pt>
                <c:pt idx="3">
                  <c:v>8161.083333333333</c:v>
                </c:pt>
                <c:pt idx="4">
                  <c:v>8161.083333333333</c:v>
                </c:pt>
                <c:pt idx="5">
                  <c:v>8161.083333333333</c:v>
                </c:pt>
                <c:pt idx="6">
                  <c:v>8161.083333333333</c:v>
                </c:pt>
                <c:pt idx="7">
                  <c:v>8161.083333333333</c:v>
                </c:pt>
                <c:pt idx="8">
                  <c:v>8161.083333333333</c:v>
                </c:pt>
                <c:pt idx="9">
                  <c:v>8161.083333333333</c:v>
                </c:pt>
                <c:pt idx="10">
                  <c:v>8161.083333333333</c:v>
                </c:pt>
                <c:pt idx="11">
                  <c:v>8161.083333333333</c:v>
                </c:pt>
                <c:pt idx="12">
                  <c:v>8161.083333333333</c:v>
                </c:pt>
                <c:pt idx="13">
                  <c:v>8161.083333333333</c:v>
                </c:pt>
                <c:pt idx="14">
                  <c:v>8161.083333333333</c:v>
                </c:pt>
                <c:pt idx="15">
                  <c:v>8161.083333333333</c:v>
                </c:pt>
                <c:pt idx="16">
                  <c:v>8161.083333333333</c:v>
                </c:pt>
                <c:pt idx="17">
                  <c:v>8161.083333333333</c:v>
                </c:pt>
                <c:pt idx="18">
                  <c:v>8161.083333333333</c:v>
                </c:pt>
                <c:pt idx="19">
                  <c:v>8161.083333333333</c:v>
                </c:pt>
                <c:pt idx="20">
                  <c:v>8161.083333333333</c:v>
                </c:pt>
                <c:pt idx="21">
                  <c:v>8161.083333333333</c:v>
                </c:pt>
                <c:pt idx="22">
                  <c:v>8161.083333333333</c:v>
                </c:pt>
                <c:pt idx="23">
                  <c:v>8161.083333333333</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'D12'!$J$56:$J$79</c:f>
              <c:numCache>
                <c:ptCount val="24"/>
                <c:pt idx="0">
                  <c:v>5061</c:v>
                </c:pt>
                <c:pt idx="1">
                  <c:v>4009</c:v>
                </c:pt>
                <c:pt idx="2">
                  <c:v>3331.3333333333335</c:v>
                </c:pt>
                <c:pt idx="3">
                  <c:v>3217.4375</c:v>
                </c:pt>
                <c:pt idx="4">
                  <c:v>3074.144</c:v>
                </c:pt>
                <c:pt idx="5">
                  <c:v>2958.611666666666</c:v>
                </c:pt>
                <c:pt idx="6">
                  <c:v>2992.3699999999994</c:v>
                </c:pt>
                <c:pt idx="7">
                  <c:v>3107.8574999999996</c:v>
                </c:pt>
                <c:pt idx="8">
                  <c:v>3319.781111111111</c:v>
                </c:pt>
                <c:pt idx="9">
                  <c:v>3934.69</c:v>
                </c:pt>
                <c:pt idx="10">
                  <c:v>4287.708181818182</c:v>
                </c:pt>
                <c:pt idx="11">
                  <c:v>4588.2325</c:v>
                </c:pt>
                <c:pt idx="12">
                  <c:v>5018.445384615385</c:v>
                </c:pt>
                <c:pt idx="13">
                  <c:v>5516.556428571429</c:v>
                </c:pt>
                <c:pt idx="14">
                  <c:v>5511.452666666667</c:v>
                </c:pt>
                <c:pt idx="15">
                  <c:v>5594.2993750000005</c:v>
                </c:pt>
                <c:pt idx="16">
                  <c:v>5507.164117647059</c:v>
                </c:pt>
                <c:pt idx="17">
                  <c:v>5583.710555555556</c:v>
                </c:pt>
                <c:pt idx="18">
                  <c:v>5541.094210526317</c:v>
                </c:pt>
              </c:numCache>
            </c:numRef>
          </c:val>
          <c:smooth val="0"/>
        </c:ser>
        <c:marker val="1"/>
        <c:axId val="65203265"/>
        <c:axId val="49958474"/>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'D12'!$K$56:$K$79</c:f>
              <c:numCache>
                <c:ptCount val="24"/>
                <c:pt idx="0">
                  <c:v>427</c:v>
                </c:pt>
                <c:pt idx="1">
                  <c:v>417</c:v>
                </c:pt>
                <c:pt idx="2">
                  <c:v>384</c:v>
                </c:pt>
                <c:pt idx="3">
                  <c:v>377</c:v>
                </c:pt>
                <c:pt idx="4">
                  <c:v>371</c:v>
                </c:pt>
                <c:pt idx="5">
                  <c:v>372</c:v>
                </c:pt>
                <c:pt idx="6">
                  <c:v>385</c:v>
                </c:pt>
                <c:pt idx="7">
                  <c:v>414</c:v>
                </c:pt>
                <c:pt idx="8">
                  <c:v>378</c:v>
                </c:pt>
                <c:pt idx="9">
                  <c:v>388</c:v>
                </c:pt>
                <c:pt idx="10">
                  <c:v>365</c:v>
                </c:pt>
                <c:pt idx="11">
                  <c:v>342</c:v>
                </c:pt>
                <c:pt idx="12">
                  <c:v>360</c:v>
                </c:pt>
                <c:pt idx="13">
                  <c:v>336</c:v>
                </c:pt>
                <c:pt idx="14">
                  <c:v>331</c:v>
                </c:pt>
                <c:pt idx="15">
                  <c:v>305</c:v>
                </c:pt>
                <c:pt idx="16">
                  <c:v>308</c:v>
                </c:pt>
                <c:pt idx="17">
                  <c:v>308</c:v>
                </c:pt>
                <c:pt idx="18">
                  <c:v>321</c:v>
                </c:pt>
              </c:numCache>
            </c:numRef>
          </c:val>
          <c:smooth val="0"/>
        </c:ser>
        <c:marker val="1"/>
        <c:axId val="46973083"/>
        <c:axId val="20104564"/>
      </c:lineChart>
      <c:catAx>
        <c:axId val="6520326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9958474"/>
        <c:crosses val="autoZero"/>
        <c:auto val="0"/>
        <c:lblOffset val="100"/>
        <c:tickLblSkip val="2"/>
        <c:noMultiLvlLbl val="0"/>
      </c:catAx>
      <c:valAx>
        <c:axId val="4995847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5203265"/>
        <c:crossesAt val="1"/>
        <c:crossBetween val="between"/>
        <c:dispUnits/>
      </c:valAx>
      <c:catAx>
        <c:axId val="46973083"/>
        <c:scaling>
          <c:orientation val="minMax"/>
        </c:scaling>
        <c:axPos val="b"/>
        <c:delete val="1"/>
        <c:majorTickMark val="out"/>
        <c:minorTickMark val="none"/>
        <c:tickLblPos val="nextTo"/>
        <c:crossAx val="20104564"/>
        <c:crosses val="autoZero"/>
        <c:auto val="0"/>
        <c:lblOffset val="100"/>
        <c:tickLblSkip val="1"/>
        <c:noMultiLvlLbl val="0"/>
      </c:catAx>
      <c:valAx>
        <c:axId val="20104564"/>
        <c:scaling>
          <c:orientation val="minMax"/>
        </c:scaling>
        <c:axPos val="l"/>
        <c:delete val="0"/>
        <c:numFmt formatCode="General" sourceLinked="1"/>
        <c:majorTickMark val="cross"/>
        <c:minorTickMark val="none"/>
        <c:tickLblPos val="nextTo"/>
        <c:spPr>
          <a:ln w="3175">
            <a:solidFill>
              <a:srgbClr val="000000"/>
            </a:solidFill>
          </a:ln>
        </c:spPr>
        <c:crossAx val="46973083"/>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13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'D13'!$H$56:$H$79</c:f>
              <c:numCache>
                <c:ptCount val="24"/>
                <c:pt idx="0">
                  <c:v>3407</c:v>
                </c:pt>
                <c:pt idx="1">
                  <c:v>6055</c:v>
                </c:pt>
                <c:pt idx="2">
                  <c:v>9353</c:v>
                </c:pt>
                <c:pt idx="3">
                  <c:v>12054.74</c:v>
                </c:pt>
                <c:pt idx="4">
                  <c:v>14064.82</c:v>
                </c:pt>
                <c:pt idx="5">
                  <c:v>15676.22</c:v>
                </c:pt>
                <c:pt idx="6">
                  <c:v>17668.04</c:v>
                </c:pt>
                <c:pt idx="7">
                  <c:v>20671.38</c:v>
                </c:pt>
                <c:pt idx="8">
                  <c:v>24203.280000000002</c:v>
                </c:pt>
                <c:pt idx="9">
                  <c:v>29994.440000000002</c:v>
                </c:pt>
                <c:pt idx="10">
                  <c:v>35772.53</c:v>
                </c:pt>
                <c:pt idx="11">
                  <c:v>43805.53</c:v>
                </c:pt>
                <c:pt idx="12">
                  <c:v>51323.53</c:v>
                </c:pt>
                <c:pt idx="13">
                  <c:v>60854.53</c:v>
                </c:pt>
                <c:pt idx="14">
                  <c:v>72397.53</c:v>
                </c:pt>
                <c:pt idx="15">
                  <c:v>83263.53</c:v>
                </c:pt>
                <c:pt idx="16">
                  <c:v>93532.53</c:v>
                </c:pt>
                <c:pt idx="17">
                  <c:v>99263.53</c:v>
                </c:pt>
                <c:pt idx="18">
                  <c:v>110306.53</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'D13'!$C$56:$C$79</c:f>
              <c:numCache>
                <c:ptCount val="24"/>
                <c:pt idx="0">
                  <c:v>11119.25</c:v>
                </c:pt>
                <c:pt idx="1">
                  <c:v>22238.5</c:v>
                </c:pt>
                <c:pt idx="2">
                  <c:v>33357.75</c:v>
                </c:pt>
                <c:pt idx="3">
                  <c:v>44477</c:v>
                </c:pt>
                <c:pt idx="4">
                  <c:v>55596.25</c:v>
                </c:pt>
                <c:pt idx="5">
                  <c:v>66715.5</c:v>
                </c:pt>
                <c:pt idx="6">
                  <c:v>77834.75</c:v>
                </c:pt>
                <c:pt idx="7">
                  <c:v>88954</c:v>
                </c:pt>
                <c:pt idx="8">
                  <c:v>100073.25</c:v>
                </c:pt>
                <c:pt idx="9">
                  <c:v>111192.5</c:v>
                </c:pt>
                <c:pt idx="10">
                  <c:v>122311.75</c:v>
                </c:pt>
                <c:pt idx="11">
                  <c:v>133431</c:v>
                </c:pt>
                <c:pt idx="12">
                  <c:v>144550.25</c:v>
                </c:pt>
                <c:pt idx="13">
                  <c:v>155669.5</c:v>
                </c:pt>
                <c:pt idx="14">
                  <c:v>166788.75</c:v>
                </c:pt>
                <c:pt idx="15">
                  <c:v>177908</c:v>
                </c:pt>
                <c:pt idx="16">
                  <c:v>189027.25</c:v>
                </c:pt>
                <c:pt idx="17">
                  <c:v>200146.5</c:v>
                </c:pt>
                <c:pt idx="18">
                  <c:v>211265.75</c:v>
                </c:pt>
                <c:pt idx="19">
                  <c:v>222385</c:v>
                </c:pt>
                <c:pt idx="20">
                  <c:v>233504.25</c:v>
                </c:pt>
                <c:pt idx="21">
                  <c:v>244623.5</c:v>
                </c:pt>
                <c:pt idx="22">
                  <c:v>255742.75</c:v>
                </c:pt>
                <c:pt idx="23">
                  <c:v>266862</c:v>
                </c:pt>
              </c:numCache>
            </c:numRef>
          </c:val>
        </c:ser>
        <c:overlap val="-25"/>
        <c:gapWidth val="75"/>
        <c:axId val="46723349"/>
        <c:axId val="17856958"/>
      </c:barChart>
      <c:catAx>
        <c:axId val="4672334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7856958"/>
        <c:crosses val="autoZero"/>
        <c:auto val="0"/>
        <c:lblOffset val="100"/>
        <c:tickLblSkip val="1"/>
        <c:noMultiLvlLbl val="0"/>
      </c:catAx>
      <c:valAx>
        <c:axId val="1785695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6723349"/>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13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'D13'!$G$56:$G$79</c:f>
              <c:numCache>
                <c:ptCount val="24"/>
                <c:pt idx="0">
                  <c:v>3407</c:v>
                </c:pt>
                <c:pt idx="1">
                  <c:v>2648</c:v>
                </c:pt>
                <c:pt idx="2">
                  <c:v>3298</c:v>
                </c:pt>
                <c:pt idx="3">
                  <c:v>2701.74</c:v>
                </c:pt>
                <c:pt idx="4">
                  <c:v>2010.08</c:v>
                </c:pt>
                <c:pt idx="5">
                  <c:v>1611.4</c:v>
                </c:pt>
                <c:pt idx="6">
                  <c:v>1991.82</c:v>
                </c:pt>
                <c:pt idx="7">
                  <c:v>3003.34</c:v>
                </c:pt>
                <c:pt idx="8">
                  <c:v>3531.9</c:v>
                </c:pt>
                <c:pt idx="9">
                  <c:v>5791.16</c:v>
                </c:pt>
                <c:pt idx="10">
                  <c:v>5778.09</c:v>
                </c:pt>
                <c:pt idx="11">
                  <c:v>8033</c:v>
                </c:pt>
                <c:pt idx="12">
                  <c:v>7518</c:v>
                </c:pt>
                <c:pt idx="13">
                  <c:v>9531</c:v>
                </c:pt>
                <c:pt idx="14">
                  <c:v>11543</c:v>
                </c:pt>
                <c:pt idx="15">
                  <c:v>10866</c:v>
                </c:pt>
                <c:pt idx="16">
                  <c:v>10269</c:v>
                </c:pt>
                <c:pt idx="17">
                  <c:v>5731</c:v>
                </c:pt>
                <c:pt idx="18">
                  <c:v>11043</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'D13'!$B$56:$B$79</c:f>
              <c:numCache>
                <c:ptCount val="24"/>
                <c:pt idx="0">
                  <c:v>11119.25</c:v>
                </c:pt>
                <c:pt idx="1">
                  <c:v>11119.25</c:v>
                </c:pt>
                <c:pt idx="2">
                  <c:v>11119.25</c:v>
                </c:pt>
                <c:pt idx="3">
                  <c:v>11119.25</c:v>
                </c:pt>
                <c:pt idx="4">
                  <c:v>11119.25</c:v>
                </c:pt>
                <c:pt idx="5">
                  <c:v>11119.25</c:v>
                </c:pt>
                <c:pt idx="6">
                  <c:v>11119.25</c:v>
                </c:pt>
                <c:pt idx="7">
                  <c:v>11119.25</c:v>
                </c:pt>
                <c:pt idx="8">
                  <c:v>11119.25</c:v>
                </c:pt>
                <c:pt idx="9">
                  <c:v>11119.25</c:v>
                </c:pt>
                <c:pt idx="10">
                  <c:v>11119.25</c:v>
                </c:pt>
                <c:pt idx="11">
                  <c:v>11119.25</c:v>
                </c:pt>
                <c:pt idx="12">
                  <c:v>11119.25</c:v>
                </c:pt>
                <c:pt idx="13">
                  <c:v>11119.25</c:v>
                </c:pt>
                <c:pt idx="14">
                  <c:v>11119.25</c:v>
                </c:pt>
                <c:pt idx="15">
                  <c:v>11119.25</c:v>
                </c:pt>
                <c:pt idx="16">
                  <c:v>11119.25</c:v>
                </c:pt>
                <c:pt idx="17">
                  <c:v>11119.25</c:v>
                </c:pt>
                <c:pt idx="18">
                  <c:v>11119.25</c:v>
                </c:pt>
                <c:pt idx="19">
                  <c:v>11119.25</c:v>
                </c:pt>
                <c:pt idx="20">
                  <c:v>11119.25</c:v>
                </c:pt>
                <c:pt idx="21">
                  <c:v>11119.25</c:v>
                </c:pt>
                <c:pt idx="22">
                  <c:v>11119.25</c:v>
                </c:pt>
                <c:pt idx="23">
                  <c:v>11119.25</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'D13'!$J$56:$J$79</c:f>
              <c:numCache>
                <c:ptCount val="24"/>
                <c:pt idx="0">
                  <c:v>3407</c:v>
                </c:pt>
                <c:pt idx="1">
                  <c:v>3027.5</c:v>
                </c:pt>
                <c:pt idx="2">
                  <c:v>3117.6666666666665</c:v>
                </c:pt>
                <c:pt idx="3">
                  <c:v>3013.685</c:v>
                </c:pt>
                <c:pt idx="4">
                  <c:v>2812.964</c:v>
                </c:pt>
                <c:pt idx="5">
                  <c:v>2612.7033333333334</c:v>
                </c:pt>
                <c:pt idx="6">
                  <c:v>2524.0057142857145</c:v>
                </c:pt>
                <c:pt idx="7">
                  <c:v>2583.9225</c:v>
                </c:pt>
                <c:pt idx="8">
                  <c:v>2689.2533333333336</c:v>
                </c:pt>
                <c:pt idx="9">
                  <c:v>2999.4440000000004</c:v>
                </c:pt>
                <c:pt idx="10">
                  <c:v>3252.0481818181815</c:v>
                </c:pt>
                <c:pt idx="11">
                  <c:v>3650.460833333333</c:v>
                </c:pt>
                <c:pt idx="12">
                  <c:v>3947.963846153846</c:v>
                </c:pt>
                <c:pt idx="13">
                  <c:v>4346.752142857143</c:v>
                </c:pt>
                <c:pt idx="14">
                  <c:v>4826.5019999999995</c:v>
                </c:pt>
                <c:pt idx="15">
                  <c:v>5203.970625</c:v>
                </c:pt>
                <c:pt idx="16">
                  <c:v>5501.913529411765</c:v>
                </c:pt>
                <c:pt idx="17">
                  <c:v>5514.640555555556</c:v>
                </c:pt>
                <c:pt idx="18">
                  <c:v>5805.606842105263</c:v>
                </c:pt>
              </c:numCache>
            </c:numRef>
          </c:val>
          <c:smooth val="0"/>
        </c:ser>
        <c:marker val="1"/>
        <c:axId val="26494895"/>
        <c:axId val="37127464"/>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'D13'!$K$56:$K$79</c:f>
              <c:numCache>
                <c:ptCount val="24"/>
                <c:pt idx="0">
                  <c:v>290</c:v>
                </c:pt>
                <c:pt idx="1">
                  <c:v>272</c:v>
                </c:pt>
                <c:pt idx="2">
                  <c:v>280</c:v>
                </c:pt>
                <c:pt idx="3">
                  <c:v>284</c:v>
                </c:pt>
                <c:pt idx="4">
                  <c:v>289</c:v>
                </c:pt>
                <c:pt idx="5">
                  <c:v>287</c:v>
                </c:pt>
                <c:pt idx="6">
                  <c:v>292</c:v>
                </c:pt>
                <c:pt idx="7">
                  <c:v>284</c:v>
                </c:pt>
                <c:pt idx="8">
                  <c:v>255</c:v>
                </c:pt>
                <c:pt idx="9">
                  <c:v>262</c:v>
                </c:pt>
                <c:pt idx="10">
                  <c:v>238</c:v>
                </c:pt>
                <c:pt idx="11">
                  <c:v>216</c:v>
                </c:pt>
                <c:pt idx="12">
                  <c:v>207</c:v>
                </c:pt>
                <c:pt idx="13">
                  <c:v>207</c:v>
                </c:pt>
                <c:pt idx="14">
                  <c:v>194</c:v>
                </c:pt>
                <c:pt idx="15">
                  <c:v>192</c:v>
                </c:pt>
                <c:pt idx="16">
                  <c:v>207</c:v>
                </c:pt>
                <c:pt idx="17">
                  <c:v>203</c:v>
                </c:pt>
                <c:pt idx="18">
                  <c:v>222</c:v>
                </c:pt>
              </c:numCache>
            </c:numRef>
          </c:val>
          <c:smooth val="0"/>
        </c:ser>
        <c:marker val="1"/>
        <c:axId val="65711721"/>
        <c:axId val="54534578"/>
      </c:lineChart>
      <c:catAx>
        <c:axId val="2649489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7127464"/>
        <c:crosses val="autoZero"/>
        <c:auto val="0"/>
        <c:lblOffset val="100"/>
        <c:tickLblSkip val="2"/>
        <c:noMultiLvlLbl val="0"/>
      </c:catAx>
      <c:valAx>
        <c:axId val="3712746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6494895"/>
        <c:crossesAt val="1"/>
        <c:crossBetween val="between"/>
        <c:dispUnits/>
      </c:valAx>
      <c:catAx>
        <c:axId val="65711721"/>
        <c:scaling>
          <c:orientation val="minMax"/>
        </c:scaling>
        <c:axPos val="b"/>
        <c:delete val="1"/>
        <c:majorTickMark val="out"/>
        <c:minorTickMark val="none"/>
        <c:tickLblPos val="nextTo"/>
        <c:crossAx val="54534578"/>
        <c:crosses val="autoZero"/>
        <c:auto val="0"/>
        <c:lblOffset val="100"/>
        <c:tickLblSkip val="1"/>
        <c:noMultiLvlLbl val="0"/>
      </c:catAx>
      <c:valAx>
        <c:axId val="54534578"/>
        <c:scaling>
          <c:orientation val="minMax"/>
        </c:scaling>
        <c:axPos val="l"/>
        <c:delete val="0"/>
        <c:numFmt formatCode="General" sourceLinked="1"/>
        <c:majorTickMark val="cross"/>
        <c:minorTickMark val="none"/>
        <c:tickLblPos val="nextTo"/>
        <c:spPr>
          <a:ln w="3175">
            <a:solidFill>
              <a:srgbClr val="000000"/>
            </a:solidFill>
          </a:ln>
        </c:spPr>
        <c:crossAx val="65711721"/>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14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'D14'!$H$56:$H$79</c:f>
              <c:numCache>
                <c:ptCount val="24"/>
                <c:pt idx="0">
                  <c:v>821</c:v>
                </c:pt>
                <c:pt idx="1">
                  <c:v>2580</c:v>
                </c:pt>
                <c:pt idx="2">
                  <c:v>3170</c:v>
                </c:pt>
                <c:pt idx="3">
                  <c:v>3887.26</c:v>
                </c:pt>
                <c:pt idx="4">
                  <c:v>5835.450000000001</c:v>
                </c:pt>
                <c:pt idx="5">
                  <c:v>7630.950000000001</c:v>
                </c:pt>
                <c:pt idx="6">
                  <c:v>9715.27</c:v>
                </c:pt>
                <c:pt idx="7">
                  <c:v>11903.720000000001</c:v>
                </c:pt>
                <c:pt idx="8">
                  <c:v>12992.95</c:v>
                </c:pt>
                <c:pt idx="9">
                  <c:v>14853.91</c:v>
                </c:pt>
                <c:pt idx="10">
                  <c:v>16966.489999999998</c:v>
                </c:pt>
                <c:pt idx="11">
                  <c:v>18817.489999999998</c:v>
                </c:pt>
                <c:pt idx="12">
                  <c:v>21785.489999999998</c:v>
                </c:pt>
                <c:pt idx="13">
                  <c:v>27052.489999999998</c:v>
                </c:pt>
                <c:pt idx="14">
                  <c:v>31137.489999999998</c:v>
                </c:pt>
                <c:pt idx="15">
                  <c:v>36193.49</c:v>
                </c:pt>
                <c:pt idx="16">
                  <c:v>44106.49</c:v>
                </c:pt>
                <c:pt idx="17">
                  <c:v>51020.49</c:v>
                </c:pt>
                <c:pt idx="18">
                  <c:v>54503.49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'D14'!$C$56:$C$79</c:f>
              <c:numCache>
                <c:ptCount val="24"/>
                <c:pt idx="0">
                  <c:v>5820.375</c:v>
                </c:pt>
                <c:pt idx="1">
                  <c:v>11640.75</c:v>
                </c:pt>
                <c:pt idx="2">
                  <c:v>17461.125</c:v>
                </c:pt>
                <c:pt idx="3">
                  <c:v>23281.5</c:v>
                </c:pt>
                <c:pt idx="4">
                  <c:v>29101.875</c:v>
                </c:pt>
                <c:pt idx="5">
                  <c:v>34922.25</c:v>
                </c:pt>
                <c:pt idx="6">
                  <c:v>40742.625</c:v>
                </c:pt>
                <c:pt idx="7">
                  <c:v>46563</c:v>
                </c:pt>
                <c:pt idx="8">
                  <c:v>52383.375</c:v>
                </c:pt>
                <c:pt idx="9">
                  <c:v>58203.75</c:v>
                </c:pt>
                <c:pt idx="10">
                  <c:v>64024.125</c:v>
                </c:pt>
                <c:pt idx="11">
                  <c:v>69844.5</c:v>
                </c:pt>
                <c:pt idx="12">
                  <c:v>75664.875</c:v>
                </c:pt>
                <c:pt idx="13">
                  <c:v>81485.25</c:v>
                </c:pt>
                <c:pt idx="14">
                  <c:v>87305.625</c:v>
                </c:pt>
                <c:pt idx="15">
                  <c:v>93126</c:v>
                </c:pt>
                <c:pt idx="16">
                  <c:v>98946.375</c:v>
                </c:pt>
                <c:pt idx="17">
                  <c:v>104766.75</c:v>
                </c:pt>
                <c:pt idx="18">
                  <c:v>110587.125</c:v>
                </c:pt>
                <c:pt idx="19">
                  <c:v>116407.5</c:v>
                </c:pt>
                <c:pt idx="20">
                  <c:v>122227.875</c:v>
                </c:pt>
                <c:pt idx="21">
                  <c:v>128048.25</c:v>
                </c:pt>
                <c:pt idx="22">
                  <c:v>133868.625</c:v>
                </c:pt>
                <c:pt idx="23">
                  <c:v>139689</c:v>
                </c:pt>
              </c:numCache>
            </c:numRef>
          </c:val>
        </c:ser>
        <c:overlap val="-25"/>
        <c:gapWidth val="75"/>
        <c:axId val="21049155"/>
        <c:axId val="55224668"/>
      </c:barChart>
      <c:catAx>
        <c:axId val="2104915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5224668"/>
        <c:crosses val="autoZero"/>
        <c:auto val="0"/>
        <c:lblOffset val="100"/>
        <c:tickLblSkip val="1"/>
        <c:noMultiLvlLbl val="0"/>
      </c:catAx>
      <c:valAx>
        <c:axId val="5522466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1049155"/>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14
NON-CONTRACTED SUPPORT SERVICES</a:t>
            </a:r>
          </a:p>
        </c:rich>
      </c:tx>
      <c:layout>
        <c:manualLayout>
          <c:xMode val="factor"/>
          <c:yMode val="factor"/>
          <c:x val="-0.001"/>
          <c:y val="-0.0065"/>
        </c:manualLayout>
      </c:layout>
      <c:spPr>
        <a:noFill/>
        <a:ln>
          <a:noFill/>
        </a:ln>
      </c:spPr>
    </c:title>
    <c:plotArea>
      <c:layout>
        <c:manualLayout>
          <c:xMode val="edge"/>
          <c:yMode val="edge"/>
          <c:x val="0.0105"/>
          <c:y val="0.1575"/>
          <c:w val="0.9772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'D14'!$G$56:$G$79</c:f>
              <c:numCache>
                <c:ptCount val="24"/>
                <c:pt idx="0">
                  <c:v>821</c:v>
                </c:pt>
                <c:pt idx="1">
                  <c:v>1759</c:v>
                </c:pt>
                <c:pt idx="2">
                  <c:v>590</c:v>
                </c:pt>
                <c:pt idx="3">
                  <c:v>717.26</c:v>
                </c:pt>
                <c:pt idx="4">
                  <c:v>1948.19</c:v>
                </c:pt>
                <c:pt idx="5">
                  <c:v>1795.5</c:v>
                </c:pt>
                <c:pt idx="6">
                  <c:v>2084.32</c:v>
                </c:pt>
                <c:pt idx="7">
                  <c:v>2188.45</c:v>
                </c:pt>
                <c:pt idx="8">
                  <c:v>1089.23</c:v>
                </c:pt>
                <c:pt idx="9">
                  <c:v>1860.96</c:v>
                </c:pt>
                <c:pt idx="10">
                  <c:v>2112.58</c:v>
                </c:pt>
                <c:pt idx="11">
                  <c:v>1851</c:v>
                </c:pt>
                <c:pt idx="12">
                  <c:v>2968</c:v>
                </c:pt>
                <c:pt idx="13">
                  <c:v>5267</c:v>
                </c:pt>
                <c:pt idx="14">
                  <c:v>4085</c:v>
                </c:pt>
                <c:pt idx="15">
                  <c:v>5056</c:v>
                </c:pt>
                <c:pt idx="16">
                  <c:v>7913</c:v>
                </c:pt>
                <c:pt idx="17">
                  <c:v>6914</c:v>
                </c:pt>
                <c:pt idx="18">
                  <c:v>3483</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'D14'!$B$56:$B$79</c:f>
              <c:numCache>
                <c:ptCount val="24"/>
                <c:pt idx="0">
                  <c:v>5820.375</c:v>
                </c:pt>
                <c:pt idx="1">
                  <c:v>5820.375</c:v>
                </c:pt>
                <c:pt idx="2">
                  <c:v>5820.375</c:v>
                </c:pt>
                <c:pt idx="3">
                  <c:v>5820.375</c:v>
                </c:pt>
                <c:pt idx="4">
                  <c:v>5820.375</c:v>
                </c:pt>
                <c:pt idx="5">
                  <c:v>5820.375</c:v>
                </c:pt>
                <c:pt idx="6">
                  <c:v>5820.375</c:v>
                </c:pt>
                <c:pt idx="7">
                  <c:v>5820.375</c:v>
                </c:pt>
                <c:pt idx="8">
                  <c:v>5820.375</c:v>
                </c:pt>
                <c:pt idx="9">
                  <c:v>5820.375</c:v>
                </c:pt>
                <c:pt idx="10">
                  <c:v>5820.375</c:v>
                </c:pt>
                <c:pt idx="11">
                  <c:v>5820.375</c:v>
                </c:pt>
                <c:pt idx="12">
                  <c:v>5820.375</c:v>
                </c:pt>
                <c:pt idx="13">
                  <c:v>5820.375</c:v>
                </c:pt>
                <c:pt idx="14">
                  <c:v>5820.375</c:v>
                </c:pt>
                <c:pt idx="15">
                  <c:v>5820.375</c:v>
                </c:pt>
                <c:pt idx="16">
                  <c:v>5820.375</c:v>
                </c:pt>
                <c:pt idx="17">
                  <c:v>5820.375</c:v>
                </c:pt>
                <c:pt idx="18">
                  <c:v>5820.375</c:v>
                </c:pt>
                <c:pt idx="19">
                  <c:v>5820.375</c:v>
                </c:pt>
                <c:pt idx="20">
                  <c:v>5820.375</c:v>
                </c:pt>
                <c:pt idx="21">
                  <c:v>5820.375</c:v>
                </c:pt>
                <c:pt idx="22">
                  <c:v>5820.375</c:v>
                </c:pt>
                <c:pt idx="23">
                  <c:v>5820.375</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'D14'!$J$56:$J$79</c:f>
              <c:numCache>
                <c:ptCount val="24"/>
                <c:pt idx="0">
                  <c:v>821</c:v>
                </c:pt>
                <c:pt idx="1">
                  <c:v>1290</c:v>
                </c:pt>
                <c:pt idx="2">
                  <c:v>1056.6666666666667</c:v>
                </c:pt>
                <c:pt idx="3">
                  <c:v>971.815</c:v>
                </c:pt>
                <c:pt idx="4">
                  <c:v>1167.0900000000001</c:v>
                </c:pt>
                <c:pt idx="5">
                  <c:v>1271.825</c:v>
                </c:pt>
                <c:pt idx="6">
                  <c:v>1387.8957142857143</c:v>
                </c:pt>
                <c:pt idx="7">
                  <c:v>1487.9650000000001</c:v>
                </c:pt>
                <c:pt idx="8">
                  <c:v>1443.6611111111113</c:v>
                </c:pt>
                <c:pt idx="9">
                  <c:v>1485.391</c:v>
                </c:pt>
                <c:pt idx="10">
                  <c:v>1542.4081818181817</c:v>
                </c:pt>
                <c:pt idx="11">
                  <c:v>1568.1241666666665</c:v>
                </c:pt>
                <c:pt idx="12">
                  <c:v>1675.8069230769229</c:v>
                </c:pt>
                <c:pt idx="13">
                  <c:v>1932.320714285714</c:v>
                </c:pt>
                <c:pt idx="14">
                  <c:v>2075.8326666666667</c:v>
                </c:pt>
                <c:pt idx="15">
                  <c:v>2262.093125</c:v>
                </c:pt>
                <c:pt idx="16">
                  <c:v>2594.4994117647057</c:v>
                </c:pt>
                <c:pt idx="17">
                  <c:v>2834.4716666666664</c:v>
                </c:pt>
                <c:pt idx="18">
                  <c:v>2868.604736842105</c:v>
                </c:pt>
              </c:numCache>
            </c:numRef>
          </c:val>
          <c:smooth val="0"/>
        </c:ser>
        <c:marker val="1"/>
        <c:axId val="27259965"/>
        <c:axId val="44013094"/>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'D14'!$K$56:$K$79</c:f>
              <c:numCache>
                <c:ptCount val="24"/>
                <c:pt idx="0">
                  <c:v>204</c:v>
                </c:pt>
                <c:pt idx="1">
                  <c:v>206</c:v>
                </c:pt>
                <c:pt idx="2">
                  <c:v>200</c:v>
                </c:pt>
                <c:pt idx="3">
                  <c:v>200</c:v>
                </c:pt>
                <c:pt idx="4">
                  <c:v>207</c:v>
                </c:pt>
                <c:pt idx="5">
                  <c:v>204</c:v>
                </c:pt>
                <c:pt idx="6">
                  <c:v>228</c:v>
                </c:pt>
                <c:pt idx="7">
                  <c:v>215</c:v>
                </c:pt>
                <c:pt idx="8">
                  <c:v>217</c:v>
                </c:pt>
                <c:pt idx="9">
                  <c:v>220</c:v>
                </c:pt>
                <c:pt idx="10">
                  <c:v>203</c:v>
                </c:pt>
                <c:pt idx="11">
                  <c:v>196</c:v>
                </c:pt>
                <c:pt idx="12">
                  <c:v>212</c:v>
                </c:pt>
                <c:pt idx="13">
                  <c:v>198</c:v>
                </c:pt>
                <c:pt idx="14">
                  <c:v>179</c:v>
                </c:pt>
                <c:pt idx="15">
                  <c:v>195</c:v>
                </c:pt>
                <c:pt idx="16">
                  <c:v>194</c:v>
                </c:pt>
                <c:pt idx="17">
                  <c:v>188</c:v>
                </c:pt>
                <c:pt idx="18">
                  <c:v>190</c:v>
                </c:pt>
              </c:numCache>
            </c:numRef>
          </c:val>
          <c:smooth val="0"/>
        </c:ser>
        <c:marker val="1"/>
        <c:axId val="60573527"/>
        <c:axId val="8290832"/>
      </c:lineChart>
      <c:catAx>
        <c:axId val="2725996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4013094"/>
        <c:crosses val="autoZero"/>
        <c:auto val="0"/>
        <c:lblOffset val="100"/>
        <c:tickLblSkip val="2"/>
        <c:noMultiLvlLbl val="0"/>
      </c:catAx>
      <c:valAx>
        <c:axId val="4401309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7259965"/>
        <c:crossesAt val="1"/>
        <c:crossBetween val="between"/>
        <c:dispUnits/>
      </c:valAx>
      <c:catAx>
        <c:axId val="60573527"/>
        <c:scaling>
          <c:orientation val="minMax"/>
        </c:scaling>
        <c:axPos val="b"/>
        <c:delete val="1"/>
        <c:majorTickMark val="out"/>
        <c:minorTickMark val="none"/>
        <c:tickLblPos val="nextTo"/>
        <c:crossAx val="8290832"/>
        <c:crosses val="autoZero"/>
        <c:auto val="0"/>
        <c:lblOffset val="100"/>
        <c:tickLblSkip val="1"/>
        <c:noMultiLvlLbl val="0"/>
      </c:catAx>
      <c:valAx>
        <c:axId val="8290832"/>
        <c:scaling>
          <c:orientation val="minMax"/>
        </c:scaling>
        <c:axPos val="l"/>
        <c:delete val="0"/>
        <c:numFmt formatCode="General" sourceLinked="1"/>
        <c:majorTickMark val="cross"/>
        <c:minorTickMark val="none"/>
        <c:tickLblPos val="nextTo"/>
        <c:spPr>
          <a:ln w="3175">
            <a:solidFill>
              <a:srgbClr val="000000"/>
            </a:solidFill>
          </a:ln>
        </c:spPr>
        <c:crossAx val="60573527"/>
        <c:crosses val="max"/>
        <c:crossBetween val="between"/>
        <c:dispUnits/>
      </c:valAx>
      <c:spPr>
        <a:noFill/>
        <a:ln w="12700">
          <a:solidFill>
            <a:srgbClr val="808080"/>
          </a:solidFill>
        </a:ln>
      </c:spPr>
    </c:plotArea>
    <c:legend>
      <c:legendPos val="b"/>
      <c:layout>
        <c:manualLayout>
          <c:xMode val="edge"/>
          <c:yMode val="edge"/>
          <c:x val="0.2357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15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'D15'!$H$56:$H$79</c:f>
              <c:numCache>
                <c:ptCount val="24"/>
                <c:pt idx="0">
                  <c:v>27552</c:v>
                </c:pt>
                <c:pt idx="1">
                  <c:v>47225</c:v>
                </c:pt>
                <c:pt idx="2">
                  <c:v>69431</c:v>
                </c:pt>
                <c:pt idx="3">
                  <c:v>86949.31</c:v>
                </c:pt>
                <c:pt idx="4">
                  <c:v>107671.68</c:v>
                </c:pt>
                <c:pt idx="5">
                  <c:v>130067.53</c:v>
                </c:pt>
                <c:pt idx="6">
                  <c:v>154645.48</c:v>
                </c:pt>
                <c:pt idx="7">
                  <c:v>182223.88</c:v>
                </c:pt>
                <c:pt idx="8">
                  <c:v>212521.54</c:v>
                </c:pt>
                <c:pt idx="9">
                  <c:v>238414.23</c:v>
                </c:pt>
                <c:pt idx="10">
                  <c:v>260710.45</c:v>
                </c:pt>
                <c:pt idx="11">
                  <c:v>298426.45</c:v>
                </c:pt>
                <c:pt idx="12">
                  <c:v>330965.45</c:v>
                </c:pt>
                <c:pt idx="13">
                  <c:v>360832.45</c:v>
                </c:pt>
                <c:pt idx="14">
                  <c:v>398382.45</c:v>
                </c:pt>
                <c:pt idx="15">
                  <c:v>429323.45</c:v>
                </c:pt>
                <c:pt idx="16">
                  <c:v>461033.45</c:v>
                </c:pt>
                <c:pt idx="17">
                  <c:v>497383.45</c:v>
                </c:pt>
                <c:pt idx="18">
                  <c:v>525187.45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'D15'!$C$56:$C$79</c:f>
              <c:numCache>
                <c:ptCount val="24"/>
                <c:pt idx="0">
                  <c:v>39207.125</c:v>
                </c:pt>
                <c:pt idx="1">
                  <c:v>78414.25</c:v>
                </c:pt>
                <c:pt idx="2">
                  <c:v>117621.375</c:v>
                </c:pt>
                <c:pt idx="3">
                  <c:v>156828.5</c:v>
                </c:pt>
                <c:pt idx="4">
                  <c:v>196035.625</c:v>
                </c:pt>
                <c:pt idx="5">
                  <c:v>235242.75</c:v>
                </c:pt>
                <c:pt idx="6">
                  <c:v>274449.875</c:v>
                </c:pt>
                <c:pt idx="7">
                  <c:v>313657</c:v>
                </c:pt>
                <c:pt idx="8">
                  <c:v>352864.125</c:v>
                </c:pt>
                <c:pt idx="9">
                  <c:v>392071.25</c:v>
                </c:pt>
                <c:pt idx="10">
                  <c:v>431278.375</c:v>
                </c:pt>
                <c:pt idx="11">
                  <c:v>470485.5</c:v>
                </c:pt>
                <c:pt idx="12">
                  <c:v>509692.625</c:v>
                </c:pt>
                <c:pt idx="13">
                  <c:v>548899.75</c:v>
                </c:pt>
                <c:pt idx="14">
                  <c:v>588106.875</c:v>
                </c:pt>
                <c:pt idx="15">
                  <c:v>627314</c:v>
                </c:pt>
                <c:pt idx="16">
                  <c:v>666521.125</c:v>
                </c:pt>
                <c:pt idx="17">
                  <c:v>705728.25</c:v>
                </c:pt>
                <c:pt idx="18">
                  <c:v>744935.375</c:v>
                </c:pt>
                <c:pt idx="19">
                  <c:v>784142.5</c:v>
                </c:pt>
                <c:pt idx="20">
                  <c:v>823349.625</c:v>
                </c:pt>
                <c:pt idx="21">
                  <c:v>862556.75</c:v>
                </c:pt>
                <c:pt idx="22">
                  <c:v>901763.875</c:v>
                </c:pt>
                <c:pt idx="23">
                  <c:v>940971</c:v>
                </c:pt>
              </c:numCache>
            </c:numRef>
          </c:val>
        </c:ser>
        <c:overlap val="-25"/>
        <c:gapWidth val="75"/>
        <c:axId val="7508625"/>
        <c:axId val="468762"/>
      </c:barChart>
      <c:catAx>
        <c:axId val="7508625"/>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68762"/>
        <c:crosses val="autoZero"/>
        <c:auto val="0"/>
        <c:lblOffset val="100"/>
        <c:tickLblSkip val="1"/>
        <c:noMultiLvlLbl val="0"/>
      </c:catAx>
      <c:valAx>
        <c:axId val="468762"/>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7508625"/>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2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77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'D2'!$H$56:$H$79</c:f>
              <c:numCache>
                <c:ptCount val="24"/>
                <c:pt idx="0">
                  <c:v>242064</c:v>
                </c:pt>
                <c:pt idx="1">
                  <c:v>532120</c:v>
                </c:pt>
                <c:pt idx="2">
                  <c:v>754497</c:v>
                </c:pt>
                <c:pt idx="3">
                  <c:v>994135.95</c:v>
                </c:pt>
                <c:pt idx="4">
                  <c:v>1212563.56</c:v>
                </c:pt>
                <c:pt idx="5">
                  <c:v>1469970.84</c:v>
                </c:pt>
                <c:pt idx="6">
                  <c:v>1789306.6500000001</c:v>
                </c:pt>
                <c:pt idx="7">
                  <c:v>2011257.6800000002</c:v>
                </c:pt>
                <c:pt idx="8">
                  <c:v>2268728.95</c:v>
                </c:pt>
                <c:pt idx="9">
                  <c:v>2515509.77</c:v>
                </c:pt>
                <c:pt idx="10">
                  <c:v>2782446.72</c:v>
                </c:pt>
                <c:pt idx="11">
                  <c:v>3048497.72</c:v>
                </c:pt>
                <c:pt idx="12">
                  <c:v>3367167.72</c:v>
                </c:pt>
                <c:pt idx="13">
                  <c:v>3651048.72</c:v>
                </c:pt>
                <c:pt idx="14">
                  <c:v>3955591.72</c:v>
                </c:pt>
                <c:pt idx="15">
                  <c:v>4315282.720000001</c:v>
                </c:pt>
                <c:pt idx="16">
                  <c:v>4548438.720000001</c:v>
                </c:pt>
                <c:pt idx="17">
                  <c:v>4830146.720000001</c:v>
                </c:pt>
                <c:pt idx="18">
                  <c:v>5122803.720000001</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'D2'!$C$56:$C$79</c:f>
              <c:numCache>
                <c:ptCount val="24"/>
                <c:pt idx="0">
                  <c:v>279847.4583333333</c:v>
                </c:pt>
                <c:pt idx="1">
                  <c:v>559694.9166666666</c:v>
                </c:pt>
                <c:pt idx="2">
                  <c:v>839542.375</c:v>
                </c:pt>
                <c:pt idx="3">
                  <c:v>1119389.8333333333</c:v>
                </c:pt>
                <c:pt idx="4">
                  <c:v>1399237.2916666665</c:v>
                </c:pt>
                <c:pt idx="5">
                  <c:v>1679084.7499999998</c:v>
                </c:pt>
                <c:pt idx="6">
                  <c:v>1958932.208333333</c:v>
                </c:pt>
                <c:pt idx="7">
                  <c:v>2238779.6666666665</c:v>
                </c:pt>
                <c:pt idx="8">
                  <c:v>2518627.125</c:v>
                </c:pt>
                <c:pt idx="9">
                  <c:v>2798474.5833333335</c:v>
                </c:pt>
                <c:pt idx="10">
                  <c:v>3078322.041666667</c:v>
                </c:pt>
                <c:pt idx="11">
                  <c:v>3358169.5000000005</c:v>
                </c:pt>
                <c:pt idx="12">
                  <c:v>3638016.958333334</c:v>
                </c:pt>
                <c:pt idx="13">
                  <c:v>3917864.4166666674</c:v>
                </c:pt>
                <c:pt idx="14">
                  <c:v>4197711.875000001</c:v>
                </c:pt>
                <c:pt idx="15">
                  <c:v>4477559.333333334</c:v>
                </c:pt>
                <c:pt idx="16">
                  <c:v>4757406.791666667</c:v>
                </c:pt>
                <c:pt idx="17">
                  <c:v>5037254.25</c:v>
                </c:pt>
                <c:pt idx="18">
                  <c:v>5317101.708333333</c:v>
                </c:pt>
                <c:pt idx="19">
                  <c:v>5596949.166666666</c:v>
                </c:pt>
                <c:pt idx="20">
                  <c:v>5876796.624999999</c:v>
                </c:pt>
                <c:pt idx="21">
                  <c:v>6156644.083333332</c:v>
                </c:pt>
                <c:pt idx="22">
                  <c:v>6436491.541666665</c:v>
                </c:pt>
                <c:pt idx="23">
                  <c:v>6716338.999999998</c:v>
                </c:pt>
              </c:numCache>
            </c:numRef>
          </c:val>
        </c:ser>
        <c:overlap val="-25"/>
        <c:gapWidth val="75"/>
        <c:axId val="60855131"/>
        <c:axId val="10825268"/>
      </c:barChart>
      <c:catAx>
        <c:axId val="60855131"/>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0825268"/>
        <c:crosses val="autoZero"/>
        <c:auto val="0"/>
        <c:lblOffset val="100"/>
        <c:tickLblSkip val="1"/>
        <c:noMultiLvlLbl val="0"/>
      </c:catAx>
      <c:valAx>
        <c:axId val="1082526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0855131"/>
        <c:crossesAt val="1"/>
        <c:crossBetween val="between"/>
        <c:dispUnits/>
      </c:valAx>
      <c:spPr>
        <a:noFill/>
        <a:ln w="12700">
          <a:solidFill>
            <a:srgbClr val="808080"/>
          </a:solidFill>
        </a:ln>
      </c:spPr>
    </c:plotArea>
    <c:legend>
      <c:legendPos val="b"/>
      <c:layout>
        <c:manualLayout>
          <c:xMode val="edge"/>
          <c:yMode val="edge"/>
          <c:x val="0.4245"/>
          <c:y val="0.95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15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'D15'!$G$56:$G$79</c:f>
              <c:numCache>
                <c:ptCount val="24"/>
                <c:pt idx="0">
                  <c:v>27552</c:v>
                </c:pt>
                <c:pt idx="1">
                  <c:v>19673</c:v>
                </c:pt>
                <c:pt idx="2">
                  <c:v>22206</c:v>
                </c:pt>
                <c:pt idx="3">
                  <c:v>17518.31</c:v>
                </c:pt>
                <c:pt idx="4">
                  <c:v>20722.37</c:v>
                </c:pt>
                <c:pt idx="5">
                  <c:v>22395.85</c:v>
                </c:pt>
                <c:pt idx="6">
                  <c:v>24577.95</c:v>
                </c:pt>
                <c:pt idx="7">
                  <c:v>27578.4</c:v>
                </c:pt>
                <c:pt idx="8">
                  <c:v>30297.66</c:v>
                </c:pt>
                <c:pt idx="9">
                  <c:v>25892.69</c:v>
                </c:pt>
                <c:pt idx="10">
                  <c:v>22296.22</c:v>
                </c:pt>
                <c:pt idx="11">
                  <c:v>37716</c:v>
                </c:pt>
                <c:pt idx="12">
                  <c:v>32539</c:v>
                </c:pt>
                <c:pt idx="13">
                  <c:v>29867</c:v>
                </c:pt>
                <c:pt idx="14">
                  <c:v>37550</c:v>
                </c:pt>
                <c:pt idx="15">
                  <c:v>30941</c:v>
                </c:pt>
                <c:pt idx="16">
                  <c:v>31710</c:v>
                </c:pt>
                <c:pt idx="17">
                  <c:v>36350</c:v>
                </c:pt>
                <c:pt idx="18">
                  <c:v>27804</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'D15'!$B$56:$B$79</c:f>
              <c:numCache>
                <c:ptCount val="24"/>
                <c:pt idx="0">
                  <c:v>39207.125</c:v>
                </c:pt>
                <c:pt idx="1">
                  <c:v>39207.125</c:v>
                </c:pt>
                <c:pt idx="2">
                  <c:v>39207.125</c:v>
                </c:pt>
                <c:pt idx="3">
                  <c:v>39207.125</c:v>
                </c:pt>
                <c:pt idx="4">
                  <c:v>39207.125</c:v>
                </c:pt>
                <c:pt idx="5">
                  <c:v>39207.125</c:v>
                </c:pt>
                <c:pt idx="6">
                  <c:v>39207.125</c:v>
                </c:pt>
                <c:pt idx="7">
                  <c:v>39207.125</c:v>
                </c:pt>
                <c:pt idx="8">
                  <c:v>39207.125</c:v>
                </c:pt>
                <c:pt idx="9">
                  <c:v>39207.125</c:v>
                </c:pt>
                <c:pt idx="10">
                  <c:v>39207.125</c:v>
                </c:pt>
                <c:pt idx="11">
                  <c:v>39207.125</c:v>
                </c:pt>
                <c:pt idx="12">
                  <c:v>39207.125</c:v>
                </c:pt>
                <c:pt idx="13">
                  <c:v>39207.125</c:v>
                </c:pt>
                <c:pt idx="14">
                  <c:v>39207.125</c:v>
                </c:pt>
                <c:pt idx="15">
                  <c:v>39207.125</c:v>
                </c:pt>
                <c:pt idx="16">
                  <c:v>39207.125</c:v>
                </c:pt>
                <c:pt idx="17">
                  <c:v>39207.125</c:v>
                </c:pt>
                <c:pt idx="18">
                  <c:v>39207.125</c:v>
                </c:pt>
                <c:pt idx="19">
                  <c:v>39207.125</c:v>
                </c:pt>
                <c:pt idx="20">
                  <c:v>39207.125</c:v>
                </c:pt>
                <c:pt idx="21">
                  <c:v>39207.125</c:v>
                </c:pt>
                <c:pt idx="22">
                  <c:v>39207.125</c:v>
                </c:pt>
                <c:pt idx="23">
                  <c:v>39207.125</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'D15'!$J$56:$J$79</c:f>
              <c:numCache>
                <c:ptCount val="24"/>
                <c:pt idx="0">
                  <c:v>27552</c:v>
                </c:pt>
                <c:pt idx="1">
                  <c:v>23612.5</c:v>
                </c:pt>
                <c:pt idx="2">
                  <c:v>23143.666666666668</c:v>
                </c:pt>
                <c:pt idx="3">
                  <c:v>21737.3275</c:v>
                </c:pt>
                <c:pt idx="4">
                  <c:v>21534.336</c:v>
                </c:pt>
                <c:pt idx="5">
                  <c:v>21677.921666666665</c:v>
                </c:pt>
                <c:pt idx="6">
                  <c:v>22092.21142857143</c:v>
                </c:pt>
                <c:pt idx="7">
                  <c:v>22777.985</c:v>
                </c:pt>
                <c:pt idx="8">
                  <c:v>23613.504444444447</c:v>
                </c:pt>
                <c:pt idx="9">
                  <c:v>23841.423000000003</c:v>
                </c:pt>
                <c:pt idx="10">
                  <c:v>23700.95</c:v>
                </c:pt>
                <c:pt idx="11">
                  <c:v>24868.870833333334</c:v>
                </c:pt>
                <c:pt idx="12">
                  <c:v>25458.88076923077</c:v>
                </c:pt>
                <c:pt idx="13">
                  <c:v>25773.74642857143</c:v>
                </c:pt>
                <c:pt idx="14">
                  <c:v>26558.83</c:v>
                </c:pt>
                <c:pt idx="15">
                  <c:v>26832.715625</c:v>
                </c:pt>
                <c:pt idx="16">
                  <c:v>27119.614705882355</c:v>
                </c:pt>
                <c:pt idx="17">
                  <c:v>27632.41388888889</c:v>
                </c:pt>
                <c:pt idx="18">
                  <c:v>27641.444736842102</c:v>
                </c:pt>
              </c:numCache>
            </c:numRef>
          </c:val>
          <c:smooth val="0"/>
        </c:ser>
        <c:marker val="1"/>
        <c:axId val="4218859"/>
        <c:axId val="37969732"/>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'D15'!$K$56:$K$79</c:f>
              <c:numCache>
                <c:ptCount val="24"/>
                <c:pt idx="0">
                  <c:v>1088</c:v>
                </c:pt>
                <c:pt idx="1">
                  <c:v>1088</c:v>
                </c:pt>
                <c:pt idx="2">
                  <c:v>1042</c:v>
                </c:pt>
                <c:pt idx="3">
                  <c:v>1003</c:v>
                </c:pt>
                <c:pt idx="4">
                  <c:v>954</c:v>
                </c:pt>
                <c:pt idx="5">
                  <c:v>943</c:v>
                </c:pt>
                <c:pt idx="6">
                  <c:v>977</c:v>
                </c:pt>
                <c:pt idx="7">
                  <c:v>962</c:v>
                </c:pt>
                <c:pt idx="8">
                  <c:v>937</c:v>
                </c:pt>
                <c:pt idx="9">
                  <c:v>923</c:v>
                </c:pt>
                <c:pt idx="10">
                  <c:v>871</c:v>
                </c:pt>
                <c:pt idx="11">
                  <c:v>853</c:v>
                </c:pt>
                <c:pt idx="12">
                  <c:v>837</c:v>
                </c:pt>
                <c:pt idx="13">
                  <c:v>861</c:v>
                </c:pt>
                <c:pt idx="14">
                  <c:v>835</c:v>
                </c:pt>
                <c:pt idx="15">
                  <c:v>836</c:v>
                </c:pt>
                <c:pt idx="16">
                  <c:v>812</c:v>
                </c:pt>
                <c:pt idx="17">
                  <c:v>788</c:v>
                </c:pt>
                <c:pt idx="18">
                  <c:v>782</c:v>
                </c:pt>
              </c:numCache>
            </c:numRef>
          </c:val>
          <c:smooth val="0"/>
        </c:ser>
        <c:marker val="1"/>
        <c:axId val="6183269"/>
        <c:axId val="55649422"/>
      </c:lineChart>
      <c:catAx>
        <c:axId val="421885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7969732"/>
        <c:crosses val="autoZero"/>
        <c:auto val="0"/>
        <c:lblOffset val="100"/>
        <c:tickLblSkip val="2"/>
        <c:noMultiLvlLbl val="0"/>
      </c:catAx>
      <c:valAx>
        <c:axId val="37969732"/>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218859"/>
        <c:crossesAt val="1"/>
        <c:crossBetween val="between"/>
        <c:dispUnits/>
      </c:valAx>
      <c:catAx>
        <c:axId val="6183269"/>
        <c:scaling>
          <c:orientation val="minMax"/>
        </c:scaling>
        <c:axPos val="b"/>
        <c:delete val="1"/>
        <c:majorTickMark val="out"/>
        <c:minorTickMark val="none"/>
        <c:tickLblPos val="nextTo"/>
        <c:crossAx val="55649422"/>
        <c:crosses val="autoZero"/>
        <c:auto val="0"/>
        <c:lblOffset val="100"/>
        <c:tickLblSkip val="1"/>
        <c:noMultiLvlLbl val="0"/>
      </c:catAx>
      <c:valAx>
        <c:axId val="55649422"/>
        <c:scaling>
          <c:orientation val="minMax"/>
        </c:scaling>
        <c:axPos val="l"/>
        <c:delete val="0"/>
        <c:numFmt formatCode="General" sourceLinked="1"/>
        <c:majorTickMark val="cross"/>
        <c:minorTickMark val="none"/>
        <c:tickLblPos val="nextTo"/>
        <c:spPr>
          <a:ln w="3175">
            <a:solidFill>
              <a:srgbClr val="000000"/>
            </a:solidFill>
          </a:ln>
        </c:spPr>
        <c:crossAx val="6183269"/>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16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'D16'!$H$56:$H$79</c:f>
              <c:numCache>
                <c:ptCount val="24"/>
                <c:pt idx="0">
                  <c:v>57452</c:v>
                </c:pt>
                <c:pt idx="1">
                  <c:v>109245</c:v>
                </c:pt>
                <c:pt idx="2">
                  <c:v>163956</c:v>
                </c:pt>
                <c:pt idx="3">
                  <c:v>217925.89</c:v>
                </c:pt>
                <c:pt idx="4">
                  <c:v>255919.28000000003</c:v>
                </c:pt>
                <c:pt idx="5">
                  <c:v>299980.80000000005</c:v>
                </c:pt>
                <c:pt idx="6">
                  <c:v>344484.28</c:v>
                </c:pt>
                <c:pt idx="7">
                  <c:v>394045.88</c:v>
                </c:pt>
                <c:pt idx="8">
                  <c:v>439317.47</c:v>
                </c:pt>
                <c:pt idx="9">
                  <c:v>479663.18999999994</c:v>
                </c:pt>
                <c:pt idx="10">
                  <c:v>533955.59</c:v>
                </c:pt>
                <c:pt idx="11">
                  <c:v>587777.59</c:v>
                </c:pt>
                <c:pt idx="12">
                  <c:v>654565.59</c:v>
                </c:pt>
                <c:pt idx="13">
                  <c:v>710624.59</c:v>
                </c:pt>
                <c:pt idx="14">
                  <c:v>794489.59</c:v>
                </c:pt>
                <c:pt idx="15">
                  <c:v>869558.59</c:v>
                </c:pt>
                <c:pt idx="16">
                  <c:v>947183.59</c:v>
                </c:pt>
                <c:pt idx="17">
                  <c:v>1019214.59</c:v>
                </c:pt>
                <c:pt idx="18">
                  <c:v>1094875.5899999999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'D16'!$C$56:$C$79</c:f>
              <c:numCache>
                <c:ptCount val="24"/>
                <c:pt idx="0">
                  <c:v>64397.791666666664</c:v>
                </c:pt>
                <c:pt idx="1">
                  <c:v>128795.58333333333</c:v>
                </c:pt>
                <c:pt idx="2">
                  <c:v>193193.375</c:v>
                </c:pt>
                <c:pt idx="3">
                  <c:v>257591.16666666666</c:v>
                </c:pt>
                <c:pt idx="4">
                  <c:v>321988.9583333333</c:v>
                </c:pt>
                <c:pt idx="5">
                  <c:v>386386.75</c:v>
                </c:pt>
                <c:pt idx="6">
                  <c:v>450784.5416666667</c:v>
                </c:pt>
                <c:pt idx="7">
                  <c:v>515182.3333333334</c:v>
                </c:pt>
                <c:pt idx="8">
                  <c:v>579580.125</c:v>
                </c:pt>
                <c:pt idx="9">
                  <c:v>643977.9166666666</c:v>
                </c:pt>
                <c:pt idx="10">
                  <c:v>708375.7083333333</c:v>
                </c:pt>
                <c:pt idx="11">
                  <c:v>772773.4999999999</c:v>
                </c:pt>
                <c:pt idx="12">
                  <c:v>837171.2916666665</c:v>
                </c:pt>
                <c:pt idx="13">
                  <c:v>901569.0833333331</c:v>
                </c:pt>
                <c:pt idx="14">
                  <c:v>965966.8749999998</c:v>
                </c:pt>
                <c:pt idx="15">
                  <c:v>1030364.6666666664</c:v>
                </c:pt>
                <c:pt idx="16">
                  <c:v>1094762.458333333</c:v>
                </c:pt>
                <c:pt idx="17">
                  <c:v>1159160.2499999998</c:v>
                </c:pt>
                <c:pt idx="18">
                  <c:v>1223558.0416666665</c:v>
                </c:pt>
                <c:pt idx="19">
                  <c:v>1287955.8333333333</c:v>
                </c:pt>
                <c:pt idx="20">
                  <c:v>1352353.625</c:v>
                </c:pt>
                <c:pt idx="21">
                  <c:v>1416751.4166666667</c:v>
                </c:pt>
                <c:pt idx="22">
                  <c:v>1481149.2083333335</c:v>
                </c:pt>
                <c:pt idx="23">
                  <c:v>1545547.0000000002</c:v>
                </c:pt>
              </c:numCache>
            </c:numRef>
          </c:val>
        </c:ser>
        <c:overlap val="-25"/>
        <c:gapWidth val="75"/>
        <c:axId val="31082751"/>
        <c:axId val="11309304"/>
      </c:barChart>
      <c:catAx>
        <c:axId val="31082751"/>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1309304"/>
        <c:crosses val="autoZero"/>
        <c:auto val="0"/>
        <c:lblOffset val="100"/>
        <c:tickLblSkip val="1"/>
        <c:noMultiLvlLbl val="0"/>
      </c:catAx>
      <c:valAx>
        <c:axId val="1130930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1082751"/>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16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'D16'!$G$56:$G$79</c:f>
              <c:numCache>
                <c:ptCount val="24"/>
                <c:pt idx="0">
                  <c:v>57452</c:v>
                </c:pt>
                <c:pt idx="1">
                  <c:v>51793</c:v>
                </c:pt>
                <c:pt idx="2">
                  <c:v>54711</c:v>
                </c:pt>
                <c:pt idx="3">
                  <c:v>53969.89</c:v>
                </c:pt>
                <c:pt idx="4">
                  <c:v>37993.39</c:v>
                </c:pt>
                <c:pt idx="5">
                  <c:v>44061.52</c:v>
                </c:pt>
                <c:pt idx="6">
                  <c:v>44503.48</c:v>
                </c:pt>
                <c:pt idx="7">
                  <c:v>49561.6</c:v>
                </c:pt>
                <c:pt idx="8">
                  <c:v>45271.59</c:v>
                </c:pt>
                <c:pt idx="9">
                  <c:v>40345.72</c:v>
                </c:pt>
                <c:pt idx="10">
                  <c:v>54292.4</c:v>
                </c:pt>
                <c:pt idx="11">
                  <c:v>53822</c:v>
                </c:pt>
                <c:pt idx="12">
                  <c:v>66788</c:v>
                </c:pt>
                <c:pt idx="13">
                  <c:v>56059</c:v>
                </c:pt>
                <c:pt idx="14">
                  <c:v>83865</c:v>
                </c:pt>
                <c:pt idx="15">
                  <c:v>75069</c:v>
                </c:pt>
                <c:pt idx="16">
                  <c:v>77625</c:v>
                </c:pt>
                <c:pt idx="17">
                  <c:v>72031</c:v>
                </c:pt>
                <c:pt idx="18">
                  <c:v>75661</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'D16'!$B$56:$B$79</c:f>
              <c:numCache>
                <c:ptCount val="24"/>
                <c:pt idx="0">
                  <c:v>64397.791666666664</c:v>
                </c:pt>
                <c:pt idx="1">
                  <c:v>64397.791666666664</c:v>
                </c:pt>
                <c:pt idx="2">
                  <c:v>64397.791666666664</c:v>
                </c:pt>
                <c:pt idx="3">
                  <c:v>64397.791666666664</c:v>
                </c:pt>
                <c:pt idx="4">
                  <c:v>64397.791666666664</c:v>
                </c:pt>
                <c:pt idx="5">
                  <c:v>64397.791666666664</c:v>
                </c:pt>
                <c:pt idx="6">
                  <c:v>64397.791666666664</c:v>
                </c:pt>
                <c:pt idx="7">
                  <c:v>64397.791666666664</c:v>
                </c:pt>
                <c:pt idx="8">
                  <c:v>64397.791666666664</c:v>
                </c:pt>
                <c:pt idx="9">
                  <c:v>64397.791666666664</c:v>
                </c:pt>
                <c:pt idx="10">
                  <c:v>64397.791666666664</c:v>
                </c:pt>
                <c:pt idx="11">
                  <c:v>64397.791666666664</c:v>
                </c:pt>
                <c:pt idx="12">
                  <c:v>64397.791666666664</c:v>
                </c:pt>
                <c:pt idx="13">
                  <c:v>64397.791666666664</c:v>
                </c:pt>
                <c:pt idx="14">
                  <c:v>64397.791666666664</c:v>
                </c:pt>
                <c:pt idx="15">
                  <c:v>64397.791666666664</c:v>
                </c:pt>
                <c:pt idx="16">
                  <c:v>64397.791666666664</c:v>
                </c:pt>
                <c:pt idx="17">
                  <c:v>64397.791666666664</c:v>
                </c:pt>
                <c:pt idx="18">
                  <c:v>64397.791666666664</c:v>
                </c:pt>
                <c:pt idx="19">
                  <c:v>64397.791666666664</c:v>
                </c:pt>
                <c:pt idx="20">
                  <c:v>64397.791666666664</c:v>
                </c:pt>
                <c:pt idx="21">
                  <c:v>64397.791666666664</c:v>
                </c:pt>
                <c:pt idx="22">
                  <c:v>64397.791666666664</c:v>
                </c:pt>
                <c:pt idx="23">
                  <c:v>64397.791666666664</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'D16'!$J$56:$J$79</c:f>
              <c:numCache>
                <c:ptCount val="24"/>
                <c:pt idx="0">
                  <c:v>57452</c:v>
                </c:pt>
                <c:pt idx="1">
                  <c:v>54622.5</c:v>
                </c:pt>
                <c:pt idx="2">
                  <c:v>54652</c:v>
                </c:pt>
                <c:pt idx="3">
                  <c:v>54481.4725</c:v>
                </c:pt>
                <c:pt idx="4">
                  <c:v>51183.85600000001</c:v>
                </c:pt>
                <c:pt idx="5">
                  <c:v>49996.80000000001</c:v>
                </c:pt>
                <c:pt idx="6">
                  <c:v>49212.04</c:v>
                </c:pt>
                <c:pt idx="7">
                  <c:v>49255.735</c:v>
                </c:pt>
                <c:pt idx="8">
                  <c:v>48813.05222222222</c:v>
                </c:pt>
                <c:pt idx="9">
                  <c:v>47966.318999999996</c:v>
                </c:pt>
                <c:pt idx="10">
                  <c:v>48541.41727272727</c:v>
                </c:pt>
                <c:pt idx="11">
                  <c:v>48981.46583333333</c:v>
                </c:pt>
                <c:pt idx="12">
                  <c:v>50351.19923076923</c:v>
                </c:pt>
                <c:pt idx="13">
                  <c:v>50758.89928571428</c:v>
                </c:pt>
                <c:pt idx="14">
                  <c:v>52965.97266666666</c:v>
                </c:pt>
                <c:pt idx="15">
                  <c:v>54347.411875</c:v>
                </c:pt>
                <c:pt idx="16">
                  <c:v>55716.68176470588</c:v>
                </c:pt>
                <c:pt idx="17">
                  <c:v>56623.03277777778</c:v>
                </c:pt>
                <c:pt idx="18">
                  <c:v>57625.03105263157</c:v>
                </c:pt>
              </c:numCache>
            </c:numRef>
          </c:val>
          <c:smooth val="0"/>
        </c:ser>
        <c:marker val="1"/>
        <c:axId val="34674873"/>
        <c:axId val="43638402"/>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'D16'!$K$56:$K$79</c:f>
              <c:numCache>
                <c:ptCount val="24"/>
                <c:pt idx="0">
                  <c:v>1348</c:v>
                </c:pt>
                <c:pt idx="1">
                  <c:v>1356</c:v>
                </c:pt>
                <c:pt idx="2">
                  <c:v>1347</c:v>
                </c:pt>
                <c:pt idx="3">
                  <c:v>1344</c:v>
                </c:pt>
                <c:pt idx="4">
                  <c:v>1344</c:v>
                </c:pt>
                <c:pt idx="5">
                  <c:v>1336</c:v>
                </c:pt>
                <c:pt idx="6">
                  <c:v>1400</c:v>
                </c:pt>
                <c:pt idx="7">
                  <c:v>1404</c:v>
                </c:pt>
                <c:pt idx="8">
                  <c:v>1372</c:v>
                </c:pt>
                <c:pt idx="9">
                  <c:v>1333</c:v>
                </c:pt>
                <c:pt idx="10">
                  <c:v>1263</c:v>
                </c:pt>
                <c:pt idx="11">
                  <c:v>1223</c:v>
                </c:pt>
                <c:pt idx="12">
                  <c:v>1209</c:v>
                </c:pt>
                <c:pt idx="13">
                  <c:v>1147</c:v>
                </c:pt>
                <c:pt idx="14">
                  <c:v>1114</c:v>
                </c:pt>
                <c:pt idx="15">
                  <c:v>1101</c:v>
                </c:pt>
                <c:pt idx="16">
                  <c:v>1080</c:v>
                </c:pt>
                <c:pt idx="17">
                  <c:v>1045</c:v>
                </c:pt>
                <c:pt idx="18">
                  <c:v>1041</c:v>
                </c:pt>
              </c:numCache>
            </c:numRef>
          </c:val>
          <c:smooth val="0"/>
        </c:ser>
        <c:marker val="1"/>
        <c:axId val="57201299"/>
        <c:axId val="45049644"/>
      </c:lineChart>
      <c:catAx>
        <c:axId val="34674873"/>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3638402"/>
        <c:crosses val="autoZero"/>
        <c:auto val="0"/>
        <c:lblOffset val="100"/>
        <c:tickLblSkip val="2"/>
        <c:noMultiLvlLbl val="0"/>
      </c:catAx>
      <c:valAx>
        <c:axId val="43638402"/>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4674873"/>
        <c:crossesAt val="1"/>
        <c:crossBetween val="between"/>
        <c:dispUnits/>
      </c:valAx>
      <c:catAx>
        <c:axId val="57201299"/>
        <c:scaling>
          <c:orientation val="minMax"/>
        </c:scaling>
        <c:axPos val="b"/>
        <c:delete val="1"/>
        <c:majorTickMark val="out"/>
        <c:minorTickMark val="none"/>
        <c:tickLblPos val="nextTo"/>
        <c:crossAx val="45049644"/>
        <c:crosses val="autoZero"/>
        <c:auto val="0"/>
        <c:lblOffset val="100"/>
        <c:tickLblSkip val="1"/>
        <c:noMultiLvlLbl val="0"/>
      </c:catAx>
      <c:valAx>
        <c:axId val="45049644"/>
        <c:scaling>
          <c:orientation val="minMax"/>
        </c:scaling>
        <c:axPos val="l"/>
        <c:delete val="0"/>
        <c:numFmt formatCode="General" sourceLinked="1"/>
        <c:majorTickMark val="cross"/>
        <c:minorTickMark val="none"/>
        <c:tickLblPos val="nextTo"/>
        <c:spPr>
          <a:ln w="3175">
            <a:solidFill>
              <a:srgbClr val="000000"/>
            </a:solidFill>
          </a:ln>
        </c:spPr>
        <c:crossAx val="57201299"/>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STATEWIDE
NON-CONTRACTED SUPPORT SERVICES</a:t>
            </a:r>
          </a:p>
        </c:rich>
      </c:tx>
      <c:layout>
        <c:manualLayout>
          <c:xMode val="factor"/>
          <c:yMode val="factor"/>
          <c:x val="0.04775"/>
          <c:y val="0"/>
        </c:manualLayout>
      </c:layout>
      <c:spPr>
        <a:noFill/>
        <a:ln>
          <a:noFill/>
        </a:ln>
      </c:spPr>
    </c:title>
    <c:plotArea>
      <c:layout>
        <c:manualLayout>
          <c:xMode val="edge"/>
          <c:yMode val="edge"/>
          <c:x val="0.011"/>
          <c:y val="0.134"/>
          <c:w val="0.97775"/>
          <c:h val="0.847"/>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STATEWIDE!$H$56:$H$79</c:f>
              <c:numCache>
                <c:ptCount val="24"/>
                <c:pt idx="0">
                  <c:v>581168</c:v>
                </c:pt>
                <c:pt idx="1">
                  <c:v>1198984</c:v>
                </c:pt>
                <c:pt idx="2">
                  <c:v>1706673</c:v>
                </c:pt>
                <c:pt idx="3">
                  <c:v>2248927.07</c:v>
                </c:pt>
                <c:pt idx="4">
                  <c:v>2743105.4800000004</c:v>
                </c:pt>
                <c:pt idx="5">
                  <c:v>3253337.410000001</c:v>
                </c:pt>
                <c:pt idx="6">
                  <c:v>3896323.34</c:v>
                </c:pt>
                <c:pt idx="7">
                  <c:v>4466863.8</c:v>
                </c:pt>
                <c:pt idx="8">
                  <c:v>5078820.440000001</c:v>
                </c:pt>
                <c:pt idx="9">
                  <c:v>5712901.010000002</c:v>
                </c:pt>
                <c:pt idx="10">
                  <c:v>6386041.3500000015</c:v>
                </c:pt>
                <c:pt idx="11">
                  <c:v>7109520.3500000015</c:v>
                </c:pt>
                <c:pt idx="12">
                  <c:v>8077436.350000001</c:v>
                </c:pt>
                <c:pt idx="13">
                  <c:v>8934940.350000001</c:v>
                </c:pt>
                <c:pt idx="14">
                  <c:v>9825313.349999998</c:v>
                </c:pt>
                <c:pt idx="15">
                  <c:v>10793196.35</c:v>
                </c:pt>
                <c:pt idx="16">
                  <c:v>11507417.35</c:v>
                </c:pt>
                <c:pt idx="17">
                  <c:v>12326380.35</c:v>
                </c:pt>
                <c:pt idx="18">
                  <c:v>13169273.35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STATEWIDE!$C$56:$C$79</c:f>
              <c:numCache>
                <c:ptCount val="24"/>
                <c:pt idx="0">
                  <c:v>812551.9166666667</c:v>
                </c:pt>
                <c:pt idx="1">
                  <c:v>1625103.8333333335</c:v>
                </c:pt>
                <c:pt idx="2">
                  <c:v>2437655.75</c:v>
                </c:pt>
                <c:pt idx="3">
                  <c:v>3250207.666666667</c:v>
                </c:pt>
                <c:pt idx="4">
                  <c:v>4062759.583333334</c:v>
                </c:pt>
                <c:pt idx="5">
                  <c:v>4875311.500000001</c:v>
                </c:pt>
                <c:pt idx="6">
                  <c:v>5687863.416666668</c:v>
                </c:pt>
                <c:pt idx="7">
                  <c:v>6500415.333333335</c:v>
                </c:pt>
                <c:pt idx="8">
                  <c:v>7312967.250000002</c:v>
                </c:pt>
                <c:pt idx="9">
                  <c:v>8125519.166666669</c:v>
                </c:pt>
                <c:pt idx="10">
                  <c:v>8938071.083333336</c:v>
                </c:pt>
                <c:pt idx="11">
                  <c:v>9750623.000000002</c:v>
                </c:pt>
                <c:pt idx="12">
                  <c:v>10563174.916666668</c:v>
                </c:pt>
                <c:pt idx="13">
                  <c:v>11375726.833333334</c:v>
                </c:pt>
                <c:pt idx="14">
                  <c:v>12188278.75</c:v>
                </c:pt>
                <c:pt idx="15">
                  <c:v>13000830.666666666</c:v>
                </c:pt>
                <c:pt idx="16">
                  <c:v>13813382.583333332</c:v>
                </c:pt>
                <c:pt idx="17">
                  <c:v>14625934.499999998</c:v>
                </c:pt>
                <c:pt idx="18">
                  <c:v>15438486.416666664</c:v>
                </c:pt>
                <c:pt idx="19">
                  <c:v>16251038.33333333</c:v>
                </c:pt>
                <c:pt idx="20">
                  <c:v>17063590.249999996</c:v>
                </c:pt>
                <c:pt idx="21">
                  <c:v>17876142.166666664</c:v>
                </c:pt>
                <c:pt idx="22">
                  <c:v>18688694.083333332</c:v>
                </c:pt>
                <c:pt idx="23">
                  <c:v>19501246</c:v>
                </c:pt>
              </c:numCache>
            </c:numRef>
          </c:val>
        </c:ser>
        <c:ser>
          <c:idx val="2"/>
          <c:order val="2"/>
          <c:tx>
            <c:v>Mand Particip</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STATEWIDE!$K$56:$K$79</c:f>
              <c:numCache>
                <c:ptCount val="24"/>
                <c:pt idx="0">
                  <c:v>19619</c:v>
                </c:pt>
                <c:pt idx="1">
                  <c:v>19508</c:v>
                </c:pt>
                <c:pt idx="2">
                  <c:v>19367</c:v>
                </c:pt>
                <c:pt idx="3">
                  <c:v>19008</c:v>
                </c:pt>
                <c:pt idx="4">
                  <c:v>18994</c:v>
                </c:pt>
                <c:pt idx="5">
                  <c:v>18846</c:v>
                </c:pt>
                <c:pt idx="6">
                  <c:v>19125</c:v>
                </c:pt>
                <c:pt idx="7">
                  <c:v>18989</c:v>
                </c:pt>
                <c:pt idx="8">
                  <c:v>18512</c:v>
                </c:pt>
                <c:pt idx="9">
                  <c:v>18369</c:v>
                </c:pt>
                <c:pt idx="10">
                  <c:v>17686</c:v>
                </c:pt>
                <c:pt idx="11">
                  <c:v>17200</c:v>
                </c:pt>
                <c:pt idx="12">
                  <c:v>16686</c:v>
                </c:pt>
                <c:pt idx="13">
                  <c:v>16251</c:v>
                </c:pt>
                <c:pt idx="14">
                  <c:v>15705</c:v>
                </c:pt>
                <c:pt idx="15">
                  <c:v>15501</c:v>
                </c:pt>
                <c:pt idx="16">
                  <c:v>15118</c:v>
                </c:pt>
                <c:pt idx="17">
                  <c:v>14798</c:v>
                </c:pt>
                <c:pt idx="18">
                  <c:v>14739</c:v>
                </c:pt>
              </c:numCache>
            </c:numRef>
          </c:val>
        </c:ser>
        <c:axId val="2793613"/>
        <c:axId val="25142518"/>
      </c:barChart>
      <c:catAx>
        <c:axId val="27936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5142518"/>
        <c:crosses val="autoZero"/>
        <c:auto val="0"/>
        <c:lblOffset val="100"/>
        <c:tickLblSkip val="1"/>
        <c:noMultiLvlLbl val="0"/>
      </c:catAx>
      <c:valAx>
        <c:axId val="251425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93613"/>
        <c:crossesAt val="1"/>
        <c:crossBetween val="between"/>
        <c:dispUnits/>
        <c:minorUnit val="68470.68899999998"/>
      </c:valAx>
      <c:spPr>
        <a:noFill/>
        <a:ln w="12700">
          <a:solidFill>
            <a:srgbClr val="808080"/>
          </a:solidFill>
        </a:ln>
      </c:spPr>
    </c:plotArea>
    <c:legend>
      <c:legendPos val="r"/>
      <c:layout>
        <c:manualLayout>
          <c:xMode val="edge"/>
          <c:yMode val="edge"/>
          <c:x val="0.3815"/>
          <c:y val="0.95725"/>
          <c:w val="0.38975"/>
          <c:h val="0.040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STATEWIDE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4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STATEWIDE!$G$56:$G$79</c:f>
              <c:numCache>
                <c:ptCount val="24"/>
                <c:pt idx="0">
                  <c:v>581168</c:v>
                </c:pt>
                <c:pt idx="1">
                  <c:v>617816</c:v>
                </c:pt>
                <c:pt idx="2">
                  <c:v>507689</c:v>
                </c:pt>
                <c:pt idx="3">
                  <c:v>542254.0700000001</c:v>
                </c:pt>
                <c:pt idx="4">
                  <c:v>494178.41</c:v>
                </c:pt>
                <c:pt idx="5">
                  <c:v>510231.92999999993</c:v>
                </c:pt>
                <c:pt idx="6">
                  <c:v>642985.9299999999</c:v>
                </c:pt>
                <c:pt idx="7">
                  <c:v>570540.4600000001</c:v>
                </c:pt>
                <c:pt idx="8">
                  <c:v>611956.64</c:v>
                </c:pt>
                <c:pt idx="9">
                  <c:v>634080.57</c:v>
                </c:pt>
                <c:pt idx="10">
                  <c:v>673140.3400000001</c:v>
                </c:pt>
                <c:pt idx="11">
                  <c:v>723479</c:v>
                </c:pt>
                <c:pt idx="12">
                  <c:v>967916</c:v>
                </c:pt>
                <c:pt idx="13">
                  <c:v>857504</c:v>
                </c:pt>
                <c:pt idx="14">
                  <c:v>890373</c:v>
                </c:pt>
                <c:pt idx="15">
                  <c:v>967883</c:v>
                </c:pt>
                <c:pt idx="16">
                  <c:v>714221</c:v>
                </c:pt>
                <c:pt idx="17">
                  <c:v>818963</c:v>
                </c:pt>
                <c:pt idx="18">
                  <c:v>842893</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STATEWIDE!$B$56:$B$79</c:f>
              <c:numCache>
                <c:ptCount val="24"/>
                <c:pt idx="0">
                  <c:v>812551.9166666667</c:v>
                </c:pt>
                <c:pt idx="1">
                  <c:v>812551.9166666667</c:v>
                </c:pt>
                <c:pt idx="2">
                  <c:v>812551.9166666667</c:v>
                </c:pt>
                <c:pt idx="3">
                  <c:v>812551.9166666667</c:v>
                </c:pt>
                <c:pt idx="4">
                  <c:v>812551.9166666667</c:v>
                </c:pt>
                <c:pt idx="5">
                  <c:v>812551.9166666667</c:v>
                </c:pt>
                <c:pt idx="6">
                  <c:v>812551.9166666667</c:v>
                </c:pt>
                <c:pt idx="7">
                  <c:v>812551.9166666667</c:v>
                </c:pt>
                <c:pt idx="8">
                  <c:v>812551.9166666667</c:v>
                </c:pt>
                <c:pt idx="9">
                  <c:v>812551.9166666667</c:v>
                </c:pt>
                <c:pt idx="10">
                  <c:v>812551.9166666667</c:v>
                </c:pt>
                <c:pt idx="11">
                  <c:v>812551.9166666667</c:v>
                </c:pt>
                <c:pt idx="12">
                  <c:v>812551.9166666667</c:v>
                </c:pt>
                <c:pt idx="13">
                  <c:v>812551.9166666667</c:v>
                </c:pt>
                <c:pt idx="14">
                  <c:v>812551.9166666667</c:v>
                </c:pt>
                <c:pt idx="15">
                  <c:v>812551.9166666667</c:v>
                </c:pt>
                <c:pt idx="16">
                  <c:v>812551.9166666667</c:v>
                </c:pt>
                <c:pt idx="17">
                  <c:v>812551.9166666667</c:v>
                </c:pt>
                <c:pt idx="18">
                  <c:v>812551.9166666667</c:v>
                </c:pt>
                <c:pt idx="19">
                  <c:v>812551.9166666667</c:v>
                </c:pt>
                <c:pt idx="20">
                  <c:v>812551.9166666667</c:v>
                </c:pt>
                <c:pt idx="21">
                  <c:v>812551.9166666667</c:v>
                </c:pt>
                <c:pt idx="22">
                  <c:v>812551.9166666667</c:v>
                </c:pt>
                <c:pt idx="23">
                  <c:v>812551.9166666667</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STATEWIDE!$J$56:$J$79</c:f>
              <c:numCache>
                <c:ptCount val="24"/>
                <c:pt idx="0">
                  <c:v>581168</c:v>
                </c:pt>
                <c:pt idx="1">
                  <c:v>599492</c:v>
                </c:pt>
                <c:pt idx="2">
                  <c:v>568891</c:v>
                </c:pt>
                <c:pt idx="3">
                  <c:v>562231.7675</c:v>
                </c:pt>
                <c:pt idx="4">
                  <c:v>548621.0960000001</c:v>
                </c:pt>
                <c:pt idx="5">
                  <c:v>542222.9016666668</c:v>
                </c:pt>
                <c:pt idx="6">
                  <c:v>556617.62</c:v>
                </c:pt>
                <c:pt idx="7">
                  <c:v>558357.975</c:v>
                </c:pt>
                <c:pt idx="8">
                  <c:v>564313.3822222224</c:v>
                </c:pt>
                <c:pt idx="9">
                  <c:v>571290.1010000001</c:v>
                </c:pt>
                <c:pt idx="10">
                  <c:v>580549.2136363637</c:v>
                </c:pt>
                <c:pt idx="11">
                  <c:v>592460.0291666668</c:v>
                </c:pt>
                <c:pt idx="12">
                  <c:v>621341.2576923077</c:v>
                </c:pt>
                <c:pt idx="13">
                  <c:v>638210.0250000001</c:v>
                </c:pt>
                <c:pt idx="14">
                  <c:v>655020.8899999999</c:v>
                </c:pt>
                <c:pt idx="15">
                  <c:v>674574.771875</c:v>
                </c:pt>
                <c:pt idx="16">
                  <c:v>676906.9029411764</c:v>
                </c:pt>
                <c:pt idx="17">
                  <c:v>684798.9083333333</c:v>
                </c:pt>
                <c:pt idx="18">
                  <c:v>693119.65</c:v>
                </c:pt>
              </c:numCache>
            </c:numRef>
          </c:val>
          <c:smooth val="0"/>
        </c:ser>
        <c:marker val="1"/>
        <c:axId val="24956071"/>
        <c:axId val="23278048"/>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STATEWIDE!$K$56:$K$79</c:f>
              <c:numCache>
                <c:ptCount val="24"/>
                <c:pt idx="0">
                  <c:v>19619</c:v>
                </c:pt>
                <c:pt idx="1">
                  <c:v>19508</c:v>
                </c:pt>
                <c:pt idx="2">
                  <c:v>19367</c:v>
                </c:pt>
                <c:pt idx="3">
                  <c:v>19008</c:v>
                </c:pt>
                <c:pt idx="4">
                  <c:v>18994</c:v>
                </c:pt>
                <c:pt idx="5">
                  <c:v>18846</c:v>
                </c:pt>
                <c:pt idx="6">
                  <c:v>19125</c:v>
                </c:pt>
                <c:pt idx="7">
                  <c:v>18989</c:v>
                </c:pt>
                <c:pt idx="8">
                  <c:v>18512</c:v>
                </c:pt>
                <c:pt idx="9">
                  <c:v>18369</c:v>
                </c:pt>
                <c:pt idx="10">
                  <c:v>17686</c:v>
                </c:pt>
                <c:pt idx="11">
                  <c:v>17200</c:v>
                </c:pt>
                <c:pt idx="12">
                  <c:v>16686</c:v>
                </c:pt>
                <c:pt idx="13">
                  <c:v>16251</c:v>
                </c:pt>
                <c:pt idx="14">
                  <c:v>15705</c:v>
                </c:pt>
                <c:pt idx="15">
                  <c:v>15501</c:v>
                </c:pt>
                <c:pt idx="16">
                  <c:v>15118</c:v>
                </c:pt>
                <c:pt idx="17">
                  <c:v>14798</c:v>
                </c:pt>
                <c:pt idx="18">
                  <c:v>14739</c:v>
                </c:pt>
              </c:numCache>
            </c:numRef>
          </c:val>
          <c:smooth val="0"/>
        </c:ser>
        <c:marker val="1"/>
        <c:axId val="8175841"/>
        <c:axId val="6473706"/>
      </c:lineChart>
      <c:catAx>
        <c:axId val="24956071"/>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3278048"/>
        <c:crosses val="autoZero"/>
        <c:auto val="0"/>
        <c:lblOffset val="100"/>
        <c:tickLblSkip val="1"/>
        <c:noMultiLvlLbl val="0"/>
      </c:catAx>
      <c:valAx>
        <c:axId val="2327804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4956071"/>
        <c:crossesAt val="1"/>
        <c:crossBetween val="between"/>
        <c:dispUnits/>
      </c:valAx>
      <c:catAx>
        <c:axId val="8175841"/>
        <c:scaling>
          <c:orientation val="minMax"/>
        </c:scaling>
        <c:axPos val="b"/>
        <c:delete val="1"/>
        <c:majorTickMark val="out"/>
        <c:minorTickMark val="none"/>
        <c:tickLblPos val="nextTo"/>
        <c:crossAx val="6473706"/>
        <c:crosses val="autoZero"/>
        <c:auto val="0"/>
        <c:lblOffset val="100"/>
        <c:tickLblSkip val="1"/>
        <c:noMultiLvlLbl val="0"/>
      </c:catAx>
      <c:valAx>
        <c:axId val="6473706"/>
        <c:scaling>
          <c:orientation val="minMax"/>
        </c:scaling>
        <c:axPos val="l"/>
        <c:delete val="0"/>
        <c:numFmt formatCode="General" sourceLinked="1"/>
        <c:majorTickMark val="cross"/>
        <c:minorTickMark val="none"/>
        <c:tickLblPos val="nextTo"/>
        <c:spPr>
          <a:ln w="3175">
            <a:solidFill>
              <a:srgbClr val="000000"/>
            </a:solidFill>
          </a:ln>
        </c:spPr>
        <c:crossAx val="8175841"/>
        <c:crosses val="max"/>
        <c:crossBetween val="between"/>
        <c:dispUnits/>
      </c:valAx>
      <c:spPr>
        <a:noFill/>
        <a:ln w="12700">
          <a:solidFill>
            <a:srgbClr val="808080"/>
          </a:solidFill>
        </a:ln>
      </c:spPr>
    </c:plotArea>
    <c:legend>
      <c:legendPos val="b"/>
      <c:layout>
        <c:manualLayout>
          <c:xMode val="edge"/>
          <c:yMode val="edge"/>
          <c:x val="0.2357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2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45"/>
          <c:h val="0.7877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'D2'!$G$56:$G$79</c:f>
              <c:numCache>
                <c:ptCount val="24"/>
                <c:pt idx="0">
                  <c:v>242064</c:v>
                </c:pt>
                <c:pt idx="1">
                  <c:v>290056</c:v>
                </c:pt>
                <c:pt idx="2">
                  <c:v>222377</c:v>
                </c:pt>
                <c:pt idx="3">
                  <c:v>239638.95</c:v>
                </c:pt>
                <c:pt idx="4">
                  <c:v>218427.61</c:v>
                </c:pt>
                <c:pt idx="5">
                  <c:v>257407.28</c:v>
                </c:pt>
                <c:pt idx="6">
                  <c:v>319335.81</c:v>
                </c:pt>
                <c:pt idx="7">
                  <c:v>221951.03</c:v>
                </c:pt>
                <c:pt idx="8">
                  <c:v>257471.27</c:v>
                </c:pt>
                <c:pt idx="9">
                  <c:v>246780.82</c:v>
                </c:pt>
                <c:pt idx="10">
                  <c:v>266936.95</c:v>
                </c:pt>
                <c:pt idx="11">
                  <c:v>266051</c:v>
                </c:pt>
                <c:pt idx="12">
                  <c:v>318670</c:v>
                </c:pt>
                <c:pt idx="13">
                  <c:v>283881</c:v>
                </c:pt>
                <c:pt idx="14">
                  <c:v>304543</c:v>
                </c:pt>
                <c:pt idx="15">
                  <c:v>359691</c:v>
                </c:pt>
                <c:pt idx="16">
                  <c:v>233156</c:v>
                </c:pt>
                <c:pt idx="17">
                  <c:v>281708</c:v>
                </c:pt>
                <c:pt idx="18">
                  <c:v>292657</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'D2'!$B$56:$B$79</c:f>
              <c:numCache>
                <c:ptCount val="24"/>
                <c:pt idx="0">
                  <c:v>279847.4583333333</c:v>
                </c:pt>
                <c:pt idx="1">
                  <c:v>279847.4583333333</c:v>
                </c:pt>
                <c:pt idx="2">
                  <c:v>279847.4583333333</c:v>
                </c:pt>
                <c:pt idx="3">
                  <c:v>279847.4583333333</c:v>
                </c:pt>
                <c:pt idx="4">
                  <c:v>279847.4583333333</c:v>
                </c:pt>
                <c:pt idx="5">
                  <c:v>279847.4583333333</c:v>
                </c:pt>
                <c:pt idx="6">
                  <c:v>279847.4583333333</c:v>
                </c:pt>
                <c:pt idx="7">
                  <c:v>279847.4583333333</c:v>
                </c:pt>
                <c:pt idx="8">
                  <c:v>279847.4583333333</c:v>
                </c:pt>
                <c:pt idx="9">
                  <c:v>279847.4583333333</c:v>
                </c:pt>
                <c:pt idx="10">
                  <c:v>279847.4583333333</c:v>
                </c:pt>
                <c:pt idx="11">
                  <c:v>279847.4583333333</c:v>
                </c:pt>
                <c:pt idx="12">
                  <c:v>279847.4583333333</c:v>
                </c:pt>
                <c:pt idx="13">
                  <c:v>279847.4583333333</c:v>
                </c:pt>
                <c:pt idx="14">
                  <c:v>279847.4583333333</c:v>
                </c:pt>
                <c:pt idx="15">
                  <c:v>279847.4583333333</c:v>
                </c:pt>
                <c:pt idx="16">
                  <c:v>279847.4583333333</c:v>
                </c:pt>
                <c:pt idx="17">
                  <c:v>279847.4583333333</c:v>
                </c:pt>
                <c:pt idx="18">
                  <c:v>279847.4583333333</c:v>
                </c:pt>
                <c:pt idx="19">
                  <c:v>279847.4583333333</c:v>
                </c:pt>
                <c:pt idx="20">
                  <c:v>279847.4583333333</c:v>
                </c:pt>
                <c:pt idx="21">
                  <c:v>279847.4583333333</c:v>
                </c:pt>
                <c:pt idx="22">
                  <c:v>279847.4583333333</c:v>
                </c:pt>
                <c:pt idx="23">
                  <c:v>279847.4583333333</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'D2'!$J$56:$J$79</c:f>
              <c:numCache>
                <c:ptCount val="24"/>
                <c:pt idx="0">
                  <c:v>242064</c:v>
                </c:pt>
                <c:pt idx="1">
                  <c:v>266060</c:v>
                </c:pt>
                <c:pt idx="2">
                  <c:v>251499</c:v>
                </c:pt>
                <c:pt idx="3">
                  <c:v>248533.9875</c:v>
                </c:pt>
                <c:pt idx="4">
                  <c:v>242512.712</c:v>
                </c:pt>
                <c:pt idx="5">
                  <c:v>244995.14</c:v>
                </c:pt>
                <c:pt idx="6">
                  <c:v>255615.23571428572</c:v>
                </c:pt>
                <c:pt idx="7">
                  <c:v>251407.21000000002</c:v>
                </c:pt>
                <c:pt idx="8">
                  <c:v>252080.99444444446</c:v>
                </c:pt>
                <c:pt idx="9">
                  <c:v>251550.977</c:v>
                </c:pt>
                <c:pt idx="10">
                  <c:v>252949.70181818184</c:v>
                </c:pt>
                <c:pt idx="11">
                  <c:v>254041.47666666668</c:v>
                </c:pt>
                <c:pt idx="12">
                  <c:v>259012.90153846156</c:v>
                </c:pt>
                <c:pt idx="13">
                  <c:v>260789.1942857143</c:v>
                </c:pt>
                <c:pt idx="14">
                  <c:v>263706.11466666666</c:v>
                </c:pt>
                <c:pt idx="15">
                  <c:v>269705.17000000004</c:v>
                </c:pt>
                <c:pt idx="16">
                  <c:v>267555.21882352943</c:v>
                </c:pt>
                <c:pt idx="17">
                  <c:v>268341.4844444445</c:v>
                </c:pt>
                <c:pt idx="18">
                  <c:v>269621.24842105265</c:v>
                </c:pt>
              </c:numCache>
            </c:numRef>
          </c:val>
          <c:smooth val="0"/>
        </c:ser>
        <c:marker val="1"/>
        <c:axId val="30318549"/>
        <c:axId val="4431486"/>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'D2'!$A$56:$A$78</c:f>
              <c:strCache>
                <c:ptCount val="23"/>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strCache>
            </c:strRef>
          </c:cat>
          <c:val>
            <c:numRef>
              <c:f>'D2'!$K$56:$K$79</c:f>
              <c:numCache>
                <c:ptCount val="24"/>
                <c:pt idx="0">
                  <c:v>5254</c:v>
                </c:pt>
                <c:pt idx="1">
                  <c:v>5171</c:v>
                </c:pt>
                <c:pt idx="2">
                  <c:v>5144</c:v>
                </c:pt>
                <c:pt idx="3">
                  <c:v>5027</c:v>
                </c:pt>
                <c:pt idx="4">
                  <c:v>4937</c:v>
                </c:pt>
                <c:pt idx="5">
                  <c:v>4859</c:v>
                </c:pt>
                <c:pt idx="6">
                  <c:v>4846</c:v>
                </c:pt>
                <c:pt idx="7">
                  <c:v>4769</c:v>
                </c:pt>
                <c:pt idx="8">
                  <c:v>4651</c:v>
                </c:pt>
                <c:pt idx="9">
                  <c:v>4643</c:v>
                </c:pt>
                <c:pt idx="10">
                  <c:v>4582</c:v>
                </c:pt>
                <c:pt idx="11">
                  <c:v>4527</c:v>
                </c:pt>
                <c:pt idx="12">
                  <c:v>4273</c:v>
                </c:pt>
                <c:pt idx="13">
                  <c:v>4220</c:v>
                </c:pt>
                <c:pt idx="14">
                  <c:v>4131</c:v>
                </c:pt>
                <c:pt idx="15">
                  <c:v>4020</c:v>
                </c:pt>
                <c:pt idx="16">
                  <c:v>3881</c:v>
                </c:pt>
                <c:pt idx="17">
                  <c:v>3833</c:v>
                </c:pt>
                <c:pt idx="18">
                  <c:v>3767</c:v>
                </c:pt>
              </c:numCache>
            </c:numRef>
          </c:val>
          <c:smooth val="0"/>
        </c:ser>
        <c:marker val="1"/>
        <c:axId val="39883375"/>
        <c:axId val="23406056"/>
      </c:lineChart>
      <c:catAx>
        <c:axId val="3031854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431486"/>
        <c:crosses val="autoZero"/>
        <c:auto val="0"/>
        <c:lblOffset val="100"/>
        <c:tickLblSkip val="2"/>
        <c:noMultiLvlLbl val="0"/>
      </c:catAx>
      <c:valAx>
        <c:axId val="4431486"/>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0318549"/>
        <c:crossesAt val="1"/>
        <c:crossBetween val="between"/>
        <c:dispUnits/>
      </c:valAx>
      <c:catAx>
        <c:axId val="39883375"/>
        <c:scaling>
          <c:orientation val="minMax"/>
        </c:scaling>
        <c:axPos val="b"/>
        <c:delete val="1"/>
        <c:majorTickMark val="out"/>
        <c:minorTickMark val="none"/>
        <c:tickLblPos val="nextTo"/>
        <c:crossAx val="23406056"/>
        <c:crosses val="autoZero"/>
        <c:auto val="0"/>
        <c:lblOffset val="100"/>
        <c:tickLblSkip val="1"/>
        <c:noMultiLvlLbl val="0"/>
      </c:catAx>
      <c:valAx>
        <c:axId val="23406056"/>
        <c:scaling>
          <c:orientation val="minMax"/>
        </c:scaling>
        <c:axPos val="l"/>
        <c:delete val="0"/>
        <c:numFmt formatCode="General" sourceLinked="1"/>
        <c:majorTickMark val="cross"/>
        <c:minorTickMark val="none"/>
        <c:tickLblPos val="nextTo"/>
        <c:spPr>
          <a:ln w="3175">
            <a:solidFill>
              <a:srgbClr val="000000"/>
            </a:solidFill>
          </a:ln>
        </c:spPr>
        <c:crossAx val="39883375"/>
        <c:crosses val="max"/>
        <c:crossBetween val="between"/>
        <c:dispUnits/>
      </c:valAx>
      <c:spPr>
        <a:noFill/>
        <a:ln w="12700">
          <a:solidFill>
            <a:srgbClr val="808080"/>
          </a:solidFill>
        </a:ln>
      </c:spPr>
    </c:plotArea>
    <c:legend>
      <c:legendPos val="b"/>
      <c:layout>
        <c:manualLayout>
          <c:xMode val="edge"/>
          <c:yMode val="edge"/>
          <c:x val="0.23725"/>
          <c:y val="0.95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3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77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'D3'!$H$56:$H$79</c:f>
              <c:numCache>
                <c:ptCount val="24"/>
                <c:pt idx="0">
                  <c:v>63673</c:v>
                </c:pt>
                <c:pt idx="1">
                  <c:v>138293</c:v>
                </c:pt>
                <c:pt idx="2">
                  <c:v>196504</c:v>
                </c:pt>
                <c:pt idx="3">
                  <c:v>243658.74</c:v>
                </c:pt>
                <c:pt idx="4">
                  <c:v>300130.04</c:v>
                </c:pt>
                <c:pt idx="5">
                  <c:v>344398.07999999996</c:v>
                </c:pt>
                <c:pt idx="6">
                  <c:v>402479.29999999993</c:v>
                </c:pt>
                <c:pt idx="7">
                  <c:v>464442.8599999999</c:v>
                </c:pt>
                <c:pt idx="8">
                  <c:v>529429.19</c:v>
                </c:pt>
                <c:pt idx="9">
                  <c:v>600427.69</c:v>
                </c:pt>
                <c:pt idx="10">
                  <c:v>671267.1</c:v>
                </c:pt>
                <c:pt idx="11">
                  <c:v>753680.1</c:v>
                </c:pt>
                <c:pt idx="12">
                  <c:v>842744.1</c:v>
                </c:pt>
                <c:pt idx="13">
                  <c:v>953131.1</c:v>
                </c:pt>
                <c:pt idx="14">
                  <c:v>1060950.1</c:v>
                </c:pt>
                <c:pt idx="15">
                  <c:v>1157513.1</c:v>
                </c:pt>
                <c:pt idx="16">
                  <c:v>1237675.1</c:v>
                </c:pt>
                <c:pt idx="17">
                  <c:v>1359502.1</c:v>
                </c:pt>
                <c:pt idx="18">
                  <c:v>1471970.1</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'D3'!$C$56:$C$79</c:f>
              <c:numCache>
                <c:ptCount val="24"/>
                <c:pt idx="0">
                  <c:v>106569.20833333333</c:v>
                </c:pt>
                <c:pt idx="1">
                  <c:v>213138.41666666666</c:v>
                </c:pt>
                <c:pt idx="2">
                  <c:v>319707.625</c:v>
                </c:pt>
                <c:pt idx="3">
                  <c:v>426276.8333333333</c:v>
                </c:pt>
                <c:pt idx="4">
                  <c:v>532846.0416666666</c:v>
                </c:pt>
                <c:pt idx="5">
                  <c:v>639415.25</c:v>
                </c:pt>
                <c:pt idx="6">
                  <c:v>745984.4583333334</c:v>
                </c:pt>
                <c:pt idx="7">
                  <c:v>852553.6666666667</c:v>
                </c:pt>
                <c:pt idx="8">
                  <c:v>959122.8750000001</c:v>
                </c:pt>
                <c:pt idx="9">
                  <c:v>1065692.0833333335</c:v>
                </c:pt>
                <c:pt idx="10">
                  <c:v>1172261.2916666667</c:v>
                </c:pt>
                <c:pt idx="11">
                  <c:v>1278830.5</c:v>
                </c:pt>
                <c:pt idx="12">
                  <c:v>1385399.7083333333</c:v>
                </c:pt>
                <c:pt idx="13">
                  <c:v>1491968.9166666665</c:v>
                </c:pt>
                <c:pt idx="14">
                  <c:v>1598538.1249999998</c:v>
                </c:pt>
                <c:pt idx="15">
                  <c:v>1705107.333333333</c:v>
                </c:pt>
                <c:pt idx="16">
                  <c:v>1811676.5416666663</c:v>
                </c:pt>
                <c:pt idx="17">
                  <c:v>1918245.7499999995</c:v>
                </c:pt>
                <c:pt idx="18">
                  <c:v>2024814.9583333328</c:v>
                </c:pt>
                <c:pt idx="19">
                  <c:v>2131384.166666666</c:v>
                </c:pt>
                <c:pt idx="20">
                  <c:v>2237953.3749999995</c:v>
                </c:pt>
                <c:pt idx="21">
                  <c:v>2344522.583333333</c:v>
                </c:pt>
                <c:pt idx="22">
                  <c:v>2451091.7916666665</c:v>
                </c:pt>
                <c:pt idx="23">
                  <c:v>2557661</c:v>
                </c:pt>
              </c:numCache>
            </c:numRef>
          </c:val>
        </c:ser>
        <c:overlap val="-25"/>
        <c:gapWidth val="75"/>
        <c:axId val="9327913"/>
        <c:axId val="16842354"/>
      </c:barChart>
      <c:catAx>
        <c:axId val="9327913"/>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6842354"/>
        <c:crosses val="autoZero"/>
        <c:auto val="0"/>
        <c:lblOffset val="100"/>
        <c:tickLblSkip val="1"/>
        <c:noMultiLvlLbl val="0"/>
      </c:catAx>
      <c:valAx>
        <c:axId val="1684235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9327913"/>
        <c:crossesAt val="1"/>
        <c:crossBetween val="between"/>
        <c:dispUnits/>
      </c:valAx>
      <c:spPr>
        <a:noFill/>
        <a:ln w="12700">
          <a:solidFill>
            <a:srgbClr val="808080"/>
          </a:solidFill>
        </a:ln>
      </c:spPr>
    </c:plotArea>
    <c:legend>
      <c:legendPos val="b"/>
      <c:layout>
        <c:manualLayout>
          <c:xMode val="edge"/>
          <c:yMode val="edge"/>
          <c:x val="0.4245"/>
          <c:y val="0.95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3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45"/>
          <c:h val="0.7877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'D3'!$G$56:$G$79</c:f>
              <c:numCache>
                <c:ptCount val="24"/>
                <c:pt idx="0">
                  <c:v>63673</c:v>
                </c:pt>
                <c:pt idx="1">
                  <c:v>74620</c:v>
                </c:pt>
                <c:pt idx="2">
                  <c:v>58211</c:v>
                </c:pt>
                <c:pt idx="3">
                  <c:v>47154.74</c:v>
                </c:pt>
                <c:pt idx="4">
                  <c:v>56471.3</c:v>
                </c:pt>
                <c:pt idx="5">
                  <c:v>44268.04</c:v>
                </c:pt>
                <c:pt idx="6">
                  <c:v>58081.22</c:v>
                </c:pt>
                <c:pt idx="7">
                  <c:v>61963.56</c:v>
                </c:pt>
                <c:pt idx="8">
                  <c:v>64986.33</c:v>
                </c:pt>
                <c:pt idx="9">
                  <c:v>70998.5</c:v>
                </c:pt>
                <c:pt idx="10">
                  <c:v>70839.41</c:v>
                </c:pt>
                <c:pt idx="11">
                  <c:v>82413</c:v>
                </c:pt>
                <c:pt idx="12">
                  <c:v>89064</c:v>
                </c:pt>
                <c:pt idx="13">
                  <c:v>110387</c:v>
                </c:pt>
                <c:pt idx="14">
                  <c:v>107819</c:v>
                </c:pt>
                <c:pt idx="15">
                  <c:v>96563</c:v>
                </c:pt>
                <c:pt idx="16">
                  <c:v>80162</c:v>
                </c:pt>
                <c:pt idx="17">
                  <c:v>121827</c:v>
                </c:pt>
                <c:pt idx="18">
                  <c:v>112468</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'D3'!$B$56:$B$79</c:f>
              <c:numCache>
                <c:ptCount val="24"/>
                <c:pt idx="0">
                  <c:v>106569.20833333333</c:v>
                </c:pt>
                <c:pt idx="1">
                  <c:v>106569.20833333333</c:v>
                </c:pt>
                <c:pt idx="2">
                  <c:v>106569.20833333333</c:v>
                </c:pt>
                <c:pt idx="3">
                  <c:v>106569.20833333333</c:v>
                </c:pt>
                <c:pt idx="4">
                  <c:v>106569.20833333333</c:v>
                </c:pt>
                <c:pt idx="5">
                  <c:v>106569.20833333333</c:v>
                </c:pt>
                <c:pt idx="6">
                  <c:v>106569.20833333333</c:v>
                </c:pt>
                <c:pt idx="7">
                  <c:v>106569.20833333333</c:v>
                </c:pt>
                <c:pt idx="8">
                  <c:v>106569.20833333333</c:v>
                </c:pt>
                <c:pt idx="9">
                  <c:v>106569.20833333333</c:v>
                </c:pt>
                <c:pt idx="10">
                  <c:v>106569.20833333333</c:v>
                </c:pt>
                <c:pt idx="11">
                  <c:v>106569.20833333333</c:v>
                </c:pt>
                <c:pt idx="12">
                  <c:v>106569.20833333333</c:v>
                </c:pt>
                <c:pt idx="13">
                  <c:v>106569.20833333333</c:v>
                </c:pt>
                <c:pt idx="14">
                  <c:v>106569.20833333333</c:v>
                </c:pt>
                <c:pt idx="15">
                  <c:v>106569.20833333333</c:v>
                </c:pt>
                <c:pt idx="16">
                  <c:v>106569.20833333333</c:v>
                </c:pt>
                <c:pt idx="17">
                  <c:v>106569.20833333333</c:v>
                </c:pt>
                <c:pt idx="18">
                  <c:v>106569.20833333333</c:v>
                </c:pt>
                <c:pt idx="19">
                  <c:v>106569.20833333333</c:v>
                </c:pt>
                <c:pt idx="20">
                  <c:v>106569.20833333333</c:v>
                </c:pt>
                <c:pt idx="21">
                  <c:v>106569.20833333333</c:v>
                </c:pt>
                <c:pt idx="22">
                  <c:v>106569.20833333333</c:v>
                </c:pt>
                <c:pt idx="23">
                  <c:v>106569.20833333333</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'D3'!$J$56:$J$79</c:f>
              <c:numCache>
                <c:ptCount val="24"/>
                <c:pt idx="0">
                  <c:v>63673</c:v>
                </c:pt>
                <c:pt idx="1">
                  <c:v>69146.5</c:v>
                </c:pt>
                <c:pt idx="2">
                  <c:v>65501.333333333336</c:v>
                </c:pt>
                <c:pt idx="3">
                  <c:v>60914.685</c:v>
                </c:pt>
                <c:pt idx="4">
                  <c:v>60026.007999999994</c:v>
                </c:pt>
                <c:pt idx="5">
                  <c:v>57399.67999999999</c:v>
                </c:pt>
                <c:pt idx="6">
                  <c:v>57497.04285714285</c:v>
                </c:pt>
                <c:pt idx="7">
                  <c:v>58055.35749999999</c:v>
                </c:pt>
                <c:pt idx="8">
                  <c:v>58825.46555555555</c:v>
                </c:pt>
                <c:pt idx="9">
                  <c:v>60042.76899999999</c:v>
                </c:pt>
                <c:pt idx="10">
                  <c:v>61024.281818181815</c:v>
                </c:pt>
                <c:pt idx="11">
                  <c:v>62806.674999999996</c:v>
                </c:pt>
                <c:pt idx="12">
                  <c:v>64826.46923076923</c:v>
                </c:pt>
                <c:pt idx="13">
                  <c:v>68080.79285714285</c:v>
                </c:pt>
                <c:pt idx="14">
                  <c:v>70730.00666666667</c:v>
                </c:pt>
                <c:pt idx="15">
                  <c:v>72344.56875</c:v>
                </c:pt>
                <c:pt idx="16">
                  <c:v>72804.41764705883</c:v>
                </c:pt>
                <c:pt idx="17">
                  <c:v>75527.89444444445</c:v>
                </c:pt>
                <c:pt idx="18">
                  <c:v>77472.1105263158</c:v>
                </c:pt>
              </c:numCache>
            </c:numRef>
          </c:val>
          <c:smooth val="0"/>
        </c:ser>
        <c:marker val="1"/>
        <c:axId val="17363459"/>
        <c:axId val="22053404"/>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'D3'!$K$56:$K$79</c:f>
              <c:numCache>
                <c:ptCount val="24"/>
                <c:pt idx="0">
                  <c:v>3133</c:v>
                </c:pt>
                <c:pt idx="1">
                  <c:v>3136</c:v>
                </c:pt>
                <c:pt idx="2">
                  <c:v>3128</c:v>
                </c:pt>
                <c:pt idx="3">
                  <c:v>3097</c:v>
                </c:pt>
                <c:pt idx="4">
                  <c:v>3097</c:v>
                </c:pt>
                <c:pt idx="5">
                  <c:v>3064</c:v>
                </c:pt>
                <c:pt idx="6">
                  <c:v>3042</c:v>
                </c:pt>
                <c:pt idx="7">
                  <c:v>3005</c:v>
                </c:pt>
                <c:pt idx="8">
                  <c:v>2942</c:v>
                </c:pt>
                <c:pt idx="9">
                  <c:v>2903</c:v>
                </c:pt>
                <c:pt idx="10">
                  <c:v>2776</c:v>
                </c:pt>
                <c:pt idx="11">
                  <c:v>2655</c:v>
                </c:pt>
                <c:pt idx="12">
                  <c:v>2502</c:v>
                </c:pt>
                <c:pt idx="13">
                  <c:v>2373</c:v>
                </c:pt>
                <c:pt idx="14">
                  <c:v>2299</c:v>
                </c:pt>
                <c:pt idx="15">
                  <c:v>2291</c:v>
                </c:pt>
                <c:pt idx="16">
                  <c:v>2227</c:v>
                </c:pt>
                <c:pt idx="17">
                  <c:v>2176</c:v>
                </c:pt>
                <c:pt idx="18">
                  <c:v>2200</c:v>
                </c:pt>
              </c:numCache>
            </c:numRef>
          </c:val>
          <c:smooth val="0"/>
        </c:ser>
        <c:marker val="1"/>
        <c:axId val="64262909"/>
        <c:axId val="41495270"/>
      </c:lineChart>
      <c:catAx>
        <c:axId val="1736345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2053404"/>
        <c:crosses val="autoZero"/>
        <c:auto val="0"/>
        <c:lblOffset val="100"/>
        <c:tickLblSkip val="2"/>
        <c:noMultiLvlLbl val="0"/>
      </c:catAx>
      <c:valAx>
        <c:axId val="22053404"/>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7363459"/>
        <c:crossesAt val="1"/>
        <c:crossBetween val="between"/>
        <c:dispUnits/>
      </c:valAx>
      <c:catAx>
        <c:axId val="64262909"/>
        <c:scaling>
          <c:orientation val="minMax"/>
        </c:scaling>
        <c:axPos val="b"/>
        <c:delete val="1"/>
        <c:majorTickMark val="out"/>
        <c:minorTickMark val="none"/>
        <c:tickLblPos val="nextTo"/>
        <c:crossAx val="41495270"/>
        <c:crosses val="autoZero"/>
        <c:auto val="0"/>
        <c:lblOffset val="100"/>
        <c:tickLblSkip val="1"/>
        <c:noMultiLvlLbl val="0"/>
      </c:catAx>
      <c:valAx>
        <c:axId val="41495270"/>
        <c:scaling>
          <c:orientation val="minMax"/>
        </c:scaling>
        <c:axPos val="l"/>
        <c:delete val="0"/>
        <c:numFmt formatCode="General" sourceLinked="1"/>
        <c:majorTickMark val="cross"/>
        <c:minorTickMark val="none"/>
        <c:tickLblPos val="nextTo"/>
        <c:spPr>
          <a:ln w="3175">
            <a:solidFill>
              <a:srgbClr val="000000"/>
            </a:solidFill>
          </a:ln>
        </c:spPr>
        <c:crossAx val="64262909"/>
        <c:crosses val="max"/>
        <c:crossBetween val="between"/>
        <c:dispUnits/>
      </c:valAx>
      <c:spPr>
        <a:noFill/>
        <a:ln w="12700">
          <a:solidFill>
            <a:srgbClr val="808080"/>
          </a:solidFill>
        </a:ln>
      </c:spPr>
    </c:plotArea>
    <c:legend>
      <c:legendPos val="b"/>
      <c:layout>
        <c:manualLayout>
          <c:xMode val="edge"/>
          <c:yMode val="edge"/>
          <c:x val="0.23725"/>
          <c:y val="0.95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4
NON-CONTRACTED SUPPORT SERVICES</a:t>
            </a:r>
          </a:p>
        </c:rich>
      </c:tx>
      <c:layout>
        <c:manualLayout>
          <c:xMode val="factor"/>
          <c:yMode val="factor"/>
          <c:x val="-0.001"/>
          <c:y val="-0.0065"/>
        </c:manualLayout>
      </c:layout>
      <c:spPr>
        <a:noFill/>
        <a:ln>
          <a:noFill/>
        </a:ln>
      </c:spPr>
    </c:title>
    <c:plotArea>
      <c:layout>
        <c:manualLayout>
          <c:xMode val="edge"/>
          <c:yMode val="edge"/>
          <c:x val="0.01075"/>
          <c:y val="0.15775"/>
          <c:w val="0.9725"/>
          <c:h val="0.7882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'D4'!$H$56:$H$79</c:f>
              <c:numCache>
                <c:ptCount val="24"/>
                <c:pt idx="0">
                  <c:v>17798</c:v>
                </c:pt>
                <c:pt idx="1">
                  <c:v>27411</c:v>
                </c:pt>
                <c:pt idx="2">
                  <c:v>33077</c:v>
                </c:pt>
                <c:pt idx="3">
                  <c:v>53148.19</c:v>
                </c:pt>
                <c:pt idx="4">
                  <c:v>58739.16</c:v>
                </c:pt>
                <c:pt idx="5">
                  <c:v>66683.36</c:v>
                </c:pt>
                <c:pt idx="6">
                  <c:v>87561.88</c:v>
                </c:pt>
                <c:pt idx="7">
                  <c:v>103207.95000000001</c:v>
                </c:pt>
                <c:pt idx="8">
                  <c:v>112719.39000000001</c:v>
                </c:pt>
                <c:pt idx="9">
                  <c:v>136336.51</c:v>
                </c:pt>
                <c:pt idx="10">
                  <c:v>153292.59000000003</c:v>
                </c:pt>
                <c:pt idx="11">
                  <c:v>166101.59000000003</c:v>
                </c:pt>
                <c:pt idx="12">
                  <c:v>197092.59000000003</c:v>
                </c:pt>
                <c:pt idx="13">
                  <c:v>212266.59000000003</c:v>
                </c:pt>
                <c:pt idx="14">
                  <c:v>234417.59000000003</c:v>
                </c:pt>
                <c:pt idx="15">
                  <c:v>265248.59</c:v>
                </c:pt>
                <c:pt idx="16">
                  <c:v>278640.59</c:v>
                </c:pt>
                <c:pt idx="17">
                  <c:v>296832.59</c:v>
                </c:pt>
                <c:pt idx="18">
                  <c:v>321238.59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'D4'!$C$56:$C$79</c:f>
              <c:numCache>
                <c:ptCount val="24"/>
                <c:pt idx="0">
                  <c:v>27162.541666666668</c:v>
                </c:pt>
                <c:pt idx="1">
                  <c:v>54325.083333333336</c:v>
                </c:pt>
                <c:pt idx="2">
                  <c:v>81487.625</c:v>
                </c:pt>
                <c:pt idx="3">
                  <c:v>108650.16666666667</c:v>
                </c:pt>
                <c:pt idx="4">
                  <c:v>135812.70833333334</c:v>
                </c:pt>
                <c:pt idx="5">
                  <c:v>162975.25</c:v>
                </c:pt>
                <c:pt idx="6">
                  <c:v>190137.79166666666</c:v>
                </c:pt>
                <c:pt idx="7">
                  <c:v>217300.3333333333</c:v>
                </c:pt>
                <c:pt idx="8">
                  <c:v>244462.87499999997</c:v>
                </c:pt>
                <c:pt idx="9">
                  <c:v>271625.4166666666</c:v>
                </c:pt>
                <c:pt idx="10">
                  <c:v>298787.9583333333</c:v>
                </c:pt>
                <c:pt idx="11">
                  <c:v>325950.5</c:v>
                </c:pt>
                <c:pt idx="12">
                  <c:v>353113.0416666667</c:v>
                </c:pt>
                <c:pt idx="13">
                  <c:v>380275.5833333334</c:v>
                </c:pt>
                <c:pt idx="14">
                  <c:v>407438.12500000006</c:v>
                </c:pt>
                <c:pt idx="15">
                  <c:v>434600.66666666674</c:v>
                </c:pt>
                <c:pt idx="16">
                  <c:v>461763.20833333343</c:v>
                </c:pt>
                <c:pt idx="17">
                  <c:v>488925.7500000001</c:v>
                </c:pt>
                <c:pt idx="18">
                  <c:v>516088.2916666668</c:v>
                </c:pt>
                <c:pt idx="19">
                  <c:v>543250.8333333335</c:v>
                </c:pt>
                <c:pt idx="20">
                  <c:v>570413.3750000001</c:v>
                </c:pt>
                <c:pt idx="21">
                  <c:v>597575.9166666667</c:v>
                </c:pt>
                <c:pt idx="22">
                  <c:v>624738.4583333334</c:v>
                </c:pt>
                <c:pt idx="23">
                  <c:v>651901</c:v>
                </c:pt>
              </c:numCache>
            </c:numRef>
          </c:val>
        </c:ser>
        <c:overlap val="-25"/>
        <c:gapWidth val="75"/>
        <c:axId val="37913111"/>
        <c:axId val="5673680"/>
      </c:barChart>
      <c:catAx>
        <c:axId val="37913111"/>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673680"/>
        <c:crosses val="autoZero"/>
        <c:auto val="0"/>
        <c:lblOffset val="100"/>
        <c:tickLblSkip val="1"/>
        <c:noMultiLvlLbl val="0"/>
      </c:catAx>
      <c:valAx>
        <c:axId val="5673680"/>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7913111"/>
        <c:crossesAt val="1"/>
        <c:crossBetween val="between"/>
        <c:dispUnits/>
      </c:valAx>
      <c:spPr>
        <a:noFill/>
        <a:ln w="12700">
          <a:solidFill>
            <a:srgbClr val="808080"/>
          </a:solidFill>
        </a:ln>
      </c:spPr>
    </c:plotArea>
    <c:legend>
      <c:legendPos val="b"/>
      <c:layout>
        <c:manualLayout>
          <c:xMode val="edge"/>
          <c:yMode val="edge"/>
          <c:x val="0.4235"/>
          <c:y val="0.9555"/>
          <c:w val="0.15275"/>
          <c:h val="0.028"/>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4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8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'D4'!$G$56:$G$79</c:f>
              <c:numCache>
                <c:ptCount val="24"/>
                <c:pt idx="0">
                  <c:v>17798</c:v>
                </c:pt>
                <c:pt idx="1">
                  <c:v>9613</c:v>
                </c:pt>
                <c:pt idx="2">
                  <c:v>5666</c:v>
                </c:pt>
                <c:pt idx="3">
                  <c:v>20071.19</c:v>
                </c:pt>
                <c:pt idx="4">
                  <c:v>5590.97</c:v>
                </c:pt>
                <c:pt idx="5">
                  <c:v>7944.2</c:v>
                </c:pt>
                <c:pt idx="6">
                  <c:v>20878.52</c:v>
                </c:pt>
                <c:pt idx="7">
                  <c:v>15646.07</c:v>
                </c:pt>
                <c:pt idx="8">
                  <c:v>9511.44</c:v>
                </c:pt>
                <c:pt idx="9">
                  <c:v>23617.12</c:v>
                </c:pt>
                <c:pt idx="10">
                  <c:v>16956.08</c:v>
                </c:pt>
                <c:pt idx="11">
                  <c:v>12809</c:v>
                </c:pt>
                <c:pt idx="12">
                  <c:v>30991</c:v>
                </c:pt>
                <c:pt idx="13">
                  <c:v>15174</c:v>
                </c:pt>
                <c:pt idx="14">
                  <c:v>22151</c:v>
                </c:pt>
                <c:pt idx="15">
                  <c:v>30831</c:v>
                </c:pt>
                <c:pt idx="16">
                  <c:v>13392</c:v>
                </c:pt>
                <c:pt idx="17">
                  <c:v>18192</c:v>
                </c:pt>
                <c:pt idx="18">
                  <c:v>24406</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'D4'!$B$56:$B$79</c:f>
              <c:numCache>
                <c:ptCount val="24"/>
                <c:pt idx="0">
                  <c:v>27162.541666666668</c:v>
                </c:pt>
                <c:pt idx="1">
                  <c:v>27162.541666666668</c:v>
                </c:pt>
                <c:pt idx="2">
                  <c:v>27162.541666666668</c:v>
                </c:pt>
                <c:pt idx="3">
                  <c:v>27162.541666666668</c:v>
                </c:pt>
                <c:pt idx="4">
                  <c:v>27162.541666666668</c:v>
                </c:pt>
                <c:pt idx="5">
                  <c:v>27162.541666666668</c:v>
                </c:pt>
                <c:pt idx="6">
                  <c:v>27162.541666666668</c:v>
                </c:pt>
                <c:pt idx="7">
                  <c:v>27162.541666666668</c:v>
                </c:pt>
                <c:pt idx="8">
                  <c:v>27162.541666666668</c:v>
                </c:pt>
                <c:pt idx="9">
                  <c:v>27162.541666666668</c:v>
                </c:pt>
                <c:pt idx="10">
                  <c:v>27162.541666666668</c:v>
                </c:pt>
                <c:pt idx="11">
                  <c:v>27162.541666666668</c:v>
                </c:pt>
                <c:pt idx="12">
                  <c:v>27162.541666666668</c:v>
                </c:pt>
                <c:pt idx="13">
                  <c:v>27162.541666666668</c:v>
                </c:pt>
                <c:pt idx="14">
                  <c:v>27162.541666666668</c:v>
                </c:pt>
                <c:pt idx="15">
                  <c:v>27162.541666666668</c:v>
                </c:pt>
                <c:pt idx="16">
                  <c:v>27162.541666666668</c:v>
                </c:pt>
                <c:pt idx="17">
                  <c:v>27162.541666666668</c:v>
                </c:pt>
                <c:pt idx="18">
                  <c:v>27162.541666666668</c:v>
                </c:pt>
                <c:pt idx="19">
                  <c:v>27162.541666666668</c:v>
                </c:pt>
                <c:pt idx="20">
                  <c:v>27162.541666666668</c:v>
                </c:pt>
                <c:pt idx="21">
                  <c:v>27162.541666666668</c:v>
                </c:pt>
                <c:pt idx="22">
                  <c:v>27162.541666666668</c:v>
                </c:pt>
                <c:pt idx="23">
                  <c:v>27162.541666666668</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'D4'!$J$56:$J$79</c:f>
              <c:numCache>
                <c:ptCount val="24"/>
                <c:pt idx="0">
                  <c:v>17798</c:v>
                </c:pt>
                <c:pt idx="1">
                  <c:v>13705.5</c:v>
                </c:pt>
                <c:pt idx="2">
                  <c:v>11025.666666666666</c:v>
                </c:pt>
                <c:pt idx="3">
                  <c:v>13287.0475</c:v>
                </c:pt>
                <c:pt idx="4">
                  <c:v>11747.832</c:v>
                </c:pt>
                <c:pt idx="5">
                  <c:v>11113.893333333333</c:v>
                </c:pt>
                <c:pt idx="6">
                  <c:v>12508.84</c:v>
                </c:pt>
                <c:pt idx="7">
                  <c:v>12900.993750000001</c:v>
                </c:pt>
                <c:pt idx="8">
                  <c:v>12524.376666666669</c:v>
                </c:pt>
                <c:pt idx="9">
                  <c:v>13633.651000000002</c:v>
                </c:pt>
                <c:pt idx="10">
                  <c:v>13935.690000000002</c:v>
                </c:pt>
                <c:pt idx="11">
                  <c:v>13841.79916666667</c:v>
                </c:pt>
                <c:pt idx="12">
                  <c:v>15160.968461538463</c:v>
                </c:pt>
                <c:pt idx="13">
                  <c:v>15161.899285714288</c:v>
                </c:pt>
                <c:pt idx="14">
                  <c:v>15627.839333333335</c:v>
                </c:pt>
                <c:pt idx="15">
                  <c:v>16578.036875</c:v>
                </c:pt>
                <c:pt idx="16">
                  <c:v>16390.622941176473</c:v>
                </c:pt>
                <c:pt idx="17">
                  <c:v>16490.699444444446</c:v>
                </c:pt>
                <c:pt idx="18">
                  <c:v>16907.294210526317</c:v>
                </c:pt>
              </c:numCache>
            </c:numRef>
          </c:val>
          <c:smooth val="0"/>
        </c:ser>
        <c:marker val="1"/>
        <c:axId val="51063121"/>
        <c:axId val="56914906"/>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'D4'!$K$56:$K$79</c:f>
              <c:numCache>
                <c:ptCount val="24"/>
                <c:pt idx="0">
                  <c:v>1079</c:v>
                </c:pt>
                <c:pt idx="1">
                  <c:v>1097</c:v>
                </c:pt>
                <c:pt idx="2">
                  <c:v>1105</c:v>
                </c:pt>
                <c:pt idx="3">
                  <c:v>1092</c:v>
                </c:pt>
                <c:pt idx="4">
                  <c:v>1085</c:v>
                </c:pt>
                <c:pt idx="5">
                  <c:v>1084</c:v>
                </c:pt>
                <c:pt idx="6">
                  <c:v>1110</c:v>
                </c:pt>
                <c:pt idx="7">
                  <c:v>1104</c:v>
                </c:pt>
                <c:pt idx="8">
                  <c:v>1072</c:v>
                </c:pt>
                <c:pt idx="9">
                  <c:v>1047</c:v>
                </c:pt>
                <c:pt idx="10">
                  <c:v>1006</c:v>
                </c:pt>
                <c:pt idx="11">
                  <c:v>946</c:v>
                </c:pt>
                <c:pt idx="12">
                  <c:v>925</c:v>
                </c:pt>
                <c:pt idx="13">
                  <c:v>930</c:v>
                </c:pt>
                <c:pt idx="14">
                  <c:v>891</c:v>
                </c:pt>
                <c:pt idx="15">
                  <c:v>883</c:v>
                </c:pt>
                <c:pt idx="16">
                  <c:v>876</c:v>
                </c:pt>
                <c:pt idx="17">
                  <c:v>897</c:v>
                </c:pt>
                <c:pt idx="18">
                  <c:v>892</c:v>
                </c:pt>
              </c:numCache>
            </c:numRef>
          </c:val>
          <c:smooth val="0"/>
        </c:ser>
        <c:marker val="1"/>
        <c:axId val="42472107"/>
        <c:axId val="46704644"/>
      </c:lineChart>
      <c:catAx>
        <c:axId val="51063121"/>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6914906"/>
        <c:crosses val="autoZero"/>
        <c:auto val="0"/>
        <c:lblOffset val="100"/>
        <c:tickLblSkip val="2"/>
        <c:noMultiLvlLbl val="0"/>
      </c:catAx>
      <c:valAx>
        <c:axId val="56914906"/>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51063121"/>
        <c:crossesAt val="1"/>
        <c:crossBetween val="between"/>
        <c:dispUnits/>
      </c:valAx>
      <c:catAx>
        <c:axId val="42472107"/>
        <c:scaling>
          <c:orientation val="minMax"/>
        </c:scaling>
        <c:axPos val="b"/>
        <c:delete val="1"/>
        <c:majorTickMark val="out"/>
        <c:minorTickMark val="none"/>
        <c:tickLblPos val="nextTo"/>
        <c:crossAx val="46704644"/>
        <c:crosses val="autoZero"/>
        <c:auto val="0"/>
        <c:lblOffset val="100"/>
        <c:tickLblSkip val="1"/>
        <c:noMultiLvlLbl val="0"/>
      </c:catAx>
      <c:valAx>
        <c:axId val="46704644"/>
        <c:scaling>
          <c:orientation val="minMax"/>
        </c:scaling>
        <c:axPos val="l"/>
        <c:delete val="0"/>
        <c:numFmt formatCode="General" sourceLinked="1"/>
        <c:majorTickMark val="cross"/>
        <c:minorTickMark val="none"/>
        <c:tickLblPos val="nextTo"/>
        <c:spPr>
          <a:ln w="3175">
            <a:solidFill>
              <a:srgbClr val="000000"/>
            </a:solidFill>
          </a:ln>
        </c:spPr>
        <c:crossAx val="42472107"/>
        <c:crosses val="max"/>
        <c:crossBetween val="between"/>
        <c:dispUnits/>
      </c:valAx>
      <c:spPr>
        <a:noFill/>
        <a:ln w="12700">
          <a:solidFill>
            <a:srgbClr val="808080"/>
          </a:solidFill>
        </a:ln>
      </c:spPr>
    </c:plotArea>
    <c:legend>
      <c:legendPos val="b"/>
      <c:layout>
        <c:manualLayout>
          <c:xMode val="edge"/>
          <c:yMode val="edge"/>
          <c:x val="0.23725"/>
          <c:y val="0.95725"/>
          <c:w val="0.5257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5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8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'D5'!$H$56:$H$79</c:f>
              <c:numCache>
                <c:ptCount val="24"/>
                <c:pt idx="0">
                  <c:v>28397</c:v>
                </c:pt>
                <c:pt idx="1">
                  <c:v>66763</c:v>
                </c:pt>
                <c:pt idx="2">
                  <c:v>105880</c:v>
                </c:pt>
                <c:pt idx="3">
                  <c:v>153995.72</c:v>
                </c:pt>
                <c:pt idx="4">
                  <c:v>183944.34</c:v>
                </c:pt>
                <c:pt idx="5">
                  <c:v>211062.28</c:v>
                </c:pt>
                <c:pt idx="6">
                  <c:v>253090.82</c:v>
                </c:pt>
                <c:pt idx="7">
                  <c:v>293024.2</c:v>
                </c:pt>
                <c:pt idx="8">
                  <c:v>340498.36</c:v>
                </c:pt>
                <c:pt idx="9">
                  <c:v>376796.87</c:v>
                </c:pt>
                <c:pt idx="10">
                  <c:v>425142.93</c:v>
                </c:pt>
                <c:pt idx="11">
                  <c:v>471456.93</c:v>
                </c:pt>
                <c:pt idx="12">
                  <c:v>544270.9299999999</c:v>
                </c:pt>
                <c:pt idx="13">
                  <c:v>606879.9299999999</c:v>
                </c:pt>
                <c:pt idx="14">
                  <c:v>655294.9299999999</c:v>
                </c:pt>
                <c:pt idx="15">
                  <c:v>721930.9299999999</c:v>
                </c:pt>
                <c:pt idx="16">
                  <c:v>763879.9299999999</c:v>
                </c:pt>
                <c:pt idx="17">
                  <c:v>811662.9299999999</c:v>
                </c:pt>
                <c:pt idx="18">
                  <c:v>870793.9299999999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'D5'!$C$56:$C$79</c:f>
              <c:numCache>
                <c:ptCount val="24"/>
                <c:pt idx="0">
                  <c:v>55161.708333333336</c:v>
                </c:pt>
                <c:pt idx="1">
                  <c:v>110323.41666666667</c:v>
                </c:pt>
                <c:pt idx="2">
                  <c:v>165485.125</c:v>
                </c:pt>
                <c:pt idx="3">
                  <c:v>220646.83333333334</c:v>
                </c:pt>
                <c:pt idx="4">
                  <c:v>275808.5416666667</c:v>
                </c:pt>
                <c:pt idx="5">
                  <c:v>330970.25</c:v>
                </c:pt>
                <c:pt idx="6">
                  <c:v>386131.9583333333</c:v>
                </c:pt>
                <c:pt idx="7">
                  <c:v>441293.6666666666</c:v>
                </c:pt>
                <c:pt idx="8">
                  <c:v>496455.37499999994</c:v>
                </c:pt>
                <c:pt idx="9">
                  <c:v>551617.0833333333</c:v>
                </c:pt>
                <c:pt idx="10">
                  <c:v>606778.7916666666</c:v>
                </c:pt>
                <c:pt idx="11">
                  <c:v>661940.5</c:v>
                </c:pt>
                <c:pt idx="12">
                  <c:v>717102.2083333334</c:v>
                </c:pt>
                <c:pt idx="13">
                  <c:v>772263.9166666667</c:v>
                </c:pt>
                <c:pt idx="14">
                  <c:v>827425.6250000001</c:v>
                </c:pt>
                <c:pt idx="15">
                  <c:v>882587.3333333335</c:v>
                </c:pt>
                <c:pt idx="16">
                  <c:v>937749.0416666669</c:v>
                </c:pt>
                <c:pt idx="17">
                  <c:v>992910.7500000002</c:v>
                </c:pt>
                <c:pt idx="18">
                  <c:v>1048072.4583333336</c:v>
                </c:pt>
                <c:pt idx="19">
                  <c:v>1103234.166666667</c:v>
                </c:pt>
                <c:pt idx="20">
                  <c:v>1158395.8750000002</c:v>
                </c:pt>
                <c:pt idx="21">
                  <c:v>1213557.5833333335</c:v>
                </c:pt>
                <c:pt idx="22">
                  <c:v>1268719.2916666667</c:v>
                </c:pt>
                <c:pt idx="23">
                  <c:v>1323881</c:v>
                </c:pt>
              </c:numCache>
            </c:numRef>
          </c:val>
        </c:ser>
        <c:overlap val="-25"/>
        <c:gapWidth val="75"/>
        <c:axId val="17688613"/>
        <c:axId val="24979790"/>
      </c:barChart>
      <c:catAx>
        <c:axId val="17688613"/>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4979790"/>
        <c:crosses val="autoZero"/>
        <c:auto val="0"/>
        <c:lblOffset val="100"/>
        <c:tickLblSkip val="1"/>
        <c:noMultiLvlLbl val="0"/>
      </c:catAx>
      <c:valAx>
        <c:axId val="24979790"/>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7688613"/>
        <c:crossesAt val="1"/>
        <c:crossBetween val="between"/>
        <c:dispUnits/>
      </c:valAx>
      <c:spPr>
        <a:noFill/>
        <a:ln w="12700">
          <a:solidFill>
            <a:srgbClr val="808080"/>
          </a:solidFill>
        </a:ln>
      </c:spPr>
    </c:plotArea>
    <c:legend>
      <c:legendPos val="b"/>
      <c:layout>
        <c:manualLayout>
          <c:xMode val="edge"/>
          <c:yMode val="edge"/>
          <c:x val="0.423"/>
          <c:y val="0.95725"/>
          <c:w val="0.1525"/>
          <c:h val="0.028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7.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8.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9.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0.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3.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7.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8.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9.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0.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3.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Chart 1"/>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03"/>
  <sheetViews>
    <sheetView zoomScale="70" zoomScaleNormal="70" zoomScalePageLayoutView="0" workbookViewId="0" topLeftCell="A1">
      <pane xSplit="1" ySplit="7" topLeftCell="B73"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21.57421875" style="4" customWidth="1"/>
    <col min="3" max="3" width="20.7109375" style="4" customWidth="1"/>
    <col min="4" max="4" width="20.28125" style="4" customWidth="1"/>
    <col min="5" max="5" width="20.8515625" style="4" customWidth="1"/>
    <col min="6" max="6" width="12.7109375" style="4" hidden="1" customWidth="1"/>
    <col min="7" max="7" width="16.421875" style="4" customWidth="1"/>
    <col min="8" max="8" width="21.7109375" style="4" customWidth="1"/>
    <col min="9" max="9" width="16.140625" style="4" customWidth="1"/>
    <col min="10" max="10" width="17.00390625" style="4" customWidth="1"/>
    <col min="11" max="11" width="14.8515625" style="4" customWidth="1"/>
    <col min="12" max="12" width="12.7109375" style="4" customWidth="1"/>
    <col min="13" max="13" width="8.28125" style="4" hidden="1" customWidth="1"/>
  </cols>
  <sheetData>
    <row r="1" spans="1:10" ht="18">
      <c r="A1" s="1" t="s">
        <v>0</v>
      </c>
      <c r="B1" s="2"/>
      <c r="C1" s="3"/>
      <c r="D1" s="3"/>
      <c r="E1" s="3"/>
      <c r="F1" s="3"/>
      <c r="G1" s="2"/>
      <c r="H1" s="2"/>
      <c r="I1" s="2"/>
      <c r="J1" s="2"/>
    </row>
    <row r="2" spans="1:2" ht="18">
      <c r="A2" s="5" t="s">
        <v>1</v>
      </c>
      <c r="B2" s="6">
        <v>1</v>
      </c>
    </row>
    <row r="3" spans="2:8" ht="12.75">
      <c r="B3" s="2"/>
      <c r="C3" s="2"/>
      <c r="D3" s="2"/>
      <c r="E3" s="2"/>
      <c r="F3" s="2"/>
      <c r="G3" s="2"/>
      <c r="H3" s="2"/>
    </row>
    <row r="4" spans="2:13" ht="12.75">
      <c r="B4" s="4" t="s">
        <v>2</v>
      </c>
      <c r="C4" s="4" t="s">
        <v>43</v>
      </c>
      <c r="D4" s="4" t="s">
        <v>3</v>
      </c>
      <c r="E4" s="4" t="s">
        <v>4</v>
      </c>
      <c r="F4" s="4" t="s">
        <v>5</v>
      </c>
      <c r="G4" s="4" t="s">
        <v>6</v>
      </c>
      <c r="H4" s="4" t="s">
        <v>43</v>
      </c>
      <c r="I4" s="4" t="s">
        <v>43</v>
      </c>
      <c r="J4" s="2" t="s">
        <v>43</v>
      </c>
      <c r="K4" s="4" t="s">
        <v>7</v>
      </c>
      <c r="L4" s="4" t="s">
        <v>8</v>
      </c>
      <c r="M4" s="4" t="s">
        <v>9</v>
      </c>
    </row>
    <row r="5" spans="2:13" ht="12.75">
      <c r="B5" s="4" t="s">
        <v>10</v>
      </c>
      <c r="C5" s="4" t="s">
        <v>10</v>
      </c>
      <c r="D5" s="4" t="s">
        <v>10</v>
      </c>
      <c r="E5" s="4" t="s">
        <v>10</v>
      </c>
      <c r="F5" s="4" t="s">
        <v>10</v>
      </c>
      <c r="G5" s="4" t="s">
        <v>10</v>
      </c>
      <c r="H5" s="4" t="s">
        <v>10</v>
      </c>
      <c r="I5" s="4" t="s">
        <v>1</v>
      </c>
      <c r="J5" s="4" t="s">
        <v>44</v>
      </c>
      <c r="K5" s="4" t="s">
        <v>11</v>
      </c>
      <c r="L5" s="4" t="s">
        <v>12</v>
      </c>
      <c r="M5" s="4" t="s">
        <v>13</v>
      </c>
    </row>
    <row r="6" spans="2:13" ht="12.75">
      <c r="B6" s="4" t="s">
        <v>14</v>
      </c>
      <c r="C6" s="4" t="s">
        <v>14</v>
      </c>
      <c r="D6" s="4" t="s">
        <v>15</v>
      </c>
      <c r="E6" s="4" t="s">
        <v>16</v>
      </c>
      <c r="F6" s="4" t="s">
        <v>15</v>
      </c>
      <c r="G6" s="4" t="s">
        <v>15</v>
      </c>
      <c r="H6" s="4" t="s">
        <v>15</v>
      </c>
      <c r="I6" s="4" t="s">
        <v>17</v>
      </c>
      <c r="J6" s="4" t="s">
        <v>18</v>
      </c>
      <c r="L6" s="4" t="s">
        <v>19</v>
      </c>
      <c r="M6" s="4" t="s">
        <v>20</v>
      </c>
    </row>
    <row r="7" spans="4:10" ht="12.75">
      <c r="D7" s="2"/>
      <c r="E7" s="2"/>
      <c r="F7" s="2"/>
      <c r="G7" s="2"/>
      <c r="H7" s="2"/>
      <c r="J7" s="2"/>
    </row>
    <row r="8" spans="1:13" ht="18" hidden="1">
      <c r="A8" s="7">
        <v>39264</v>
      </c>
      <c r="B8" s="8">
        <f aca="true" t="shared" si="0" ref="B8:B19">$B$82/12</f>
        <v>34966.666666666664</v>
      </c>
      <c r="C8" s="8">
        <f>B8</f>
        <v>34966.666666666664</v>
      </c>
      <c r="D8" s="8">
        <v>3329</v>
      </c>
      <c r="E8" s="8">
        <v>14737</v>
      </c>
      <c r="F8" s="8"/>
      <c r="G8" s="8">
        <f aca="true" t="shared" si="1" ref="G8:G33">D8+E8</f>
        <v>18066</v>
      </c>
      <c r="H8" s="8">
        <f>G8</f>
        <v>18066</v>
      </c>
      <c r="I8" s="8">
        <f aca="true" t="shared" si="2" ref="I8:I39">C8-H8</f>
        <v>16900.666666666664</v>
      </c>
      <c r="J8" s="8">
        <f>H8</f>
        <v>18066</v>
      </c>
      <c r="K8" s="9">
        <v>139</v>
      </c>
      <c r="L8" s="9">
        <v>189</v>
      </c>
      <c r="M8" s="10"/>
    </row>
    <row r="9" spans="1:13" ht="18" hidden="1">
      <c r="A9" s="7">
        <v>39295</v>
      </c>
      <c r="B9" s="8">
        <f t="shared" si="0"/>
        <v>34966.666666666664</v>
      </c>
      <c r="C9" s="8">
        <f aca="true" t="shared" si="3" ref="C9:C19">C8+B9</f>
        <v>69933.33333333333</v>
      </c>
      <c r="D9" s="8">
        <v>276</v>
      </c>
      <c r="E9" s="8">
        <v>27037</v>
      </c>
      <c r="F9" s="8"/>
      <c r="G9" s="8">
        <f t="shared" si="1"/>
        <v>27313</v>
      </c>
      <c r="H9" s="8">
        <f aca="true" t="shared" si="4" ref="H9:H19">H8+G9</f>
        <v>45379</v>
      </c>
      <c r="I9" s="8">
        <f t="shared" si="2"/>
        <v>24554.33333333333</v>
      </c>
      <c r="J9" s="8">
        <f>AVERAGE(G8:G9)</f>
        <v>22689.5</v>
      </c>
      <c r="K9" s="9">
        <v>125</v>
      </c>
      <c r="L9" s="9">
        <v>170</v>
      </c>
      <c r="M9" s="10"/>
    </row>
    <row r="10" spans="1:13" ht="18" hidden="1">
      <c r="A10" s="7">
        <v>39326</v>
      </c>
      <c r="B10" s="8">
        <f t="shared" si="0"/>
        <v>34966.666666666664</v>
      </c>
      <c r="C10" s="8">
        <f t="shared" si="3"/>
        <v>104900</v>
      </c>
      <c r="D10" s="8">
        <v>1760</v>
      </c>
      <c r="E10" s="8">
        <v>14902</v>
      </c>
      <c r="F10" s="8"/>
      <c r="G10" s="8">
        <f t="shared" si="1"/>
        <v>16662</v>
      </c>
      <c r="H10" s="8">
        <f t="shared" si="4"/>
        <v>62041</v>
      </c>
      <c r="I10" s="8">
        <f t="shared" si="2"/>
        <v>42859</v>
      </c>
      <c r="J10" s="8">
        <f>AVERAGE(G8:G10)</f>
        <v>20680.333333333332</v>
      </c>
      <c r="K10" s="9">
        <v>133</v>
      </c>
      <c r="L10" s="9">
        <v>182</v>
      </c>
      <c r="M10" s="10"/>
    </row>
    <row r="11" spans="1:13" ht="18" hidden="1">
      <c r="A11" s="7">
        <v>39356</v>
      </c>
      <c r="B11" s="8">
        <f t="shared" si="0"/>
        <v>34966.666666666664</v>
      </c>
      <c r="C11" s="8">
        <f t="shared" si="3"/>
        <v>139866.66666666666</v>
      </c>
      <c r="D11" s="8">
        <v>6063</v>
      </c>
      <c r="E11" s="8">
        <v>10583</v>
      </c>
      <c r="F11" s="8"/>
      <c r="G11" s="8">
        <f t="shared" si="1"/>
        <v>16646</v>
      </c>
      <c r="H11" s="8">
        <f t="shared" si="4"/>
        <v>78687</v>
      </c>
      <c r="I11" s="8">
        <f t="shared" si="2"/>
        <v>61179.66666666666</v>
      </c>
      <c r="J11" s="8">
        <f>AVERAGE(G8:G11)</f>
        <v>19671.75</v>
      </c>
      <c r="K11" s="9">
        <v>130</v>
      </c>
      <c r="L11" s="9">
        <v>202</v>
      </c>
      <c r="M11" s="10">
        <v>8</v>
      </c>
    </row>
    <row r="12" spans="1:13" ht="18" hidden="1">
      <c r="A12" s="7">
        <v>39387</v>
      </c>
      <c r="B12" s="8">
        <f t="shared" si="0"/>
        <v>34966.666666666664</v>
      </c>
      <c r="C12" s="8">
        <f t="shared" si="3"/>
        <v>174833.3333333333</v>
      </c>
      <c r="D12" s="8">
        <v>2185</v>
      </c>
      <c r="E12" s="8">
        <v>20606</v>
      </c>
      <c r="F12" s="8"/>
      <c r="G12" s="8">
        <f t="shared" si="1"/>
        <v>22791</v>
      </c>
      <c r="H12" s="8">
        <f t="shared" si="4"/>
        <v>101478</v>
      </c>
      <c r="I12" s="8">
        <f t="shared" si="2"/>
        <v>73355.33333333331</v>
      </c>
      <c r="J12" s="8">
        <f>AVERAGE(G8:G12)</f>
        <v>20295.6</v>
      </c>
      <c r="K12" s="9">
        <v>142</v>
      </c>
      <c r="L12" s="9">
        <v>219</v>
      </c>
      <c r="M12" s="10">
        <v>17</v>
      </c>
    </row>
    <row r="13" spans="1:13" ht="18" hidden="1">
      <c r="A13" s="7">
        <v>39417</v>
      </c>
      <c r="B13" s="8">
        <f t="shared" si="0"/>
        <v>34966.666666666664</v>
      </c>
      <c r="C13" s="8">
        <f t="shared" si="3"/>
        <v>209799.99999999997</v>
      </c>
      <c r="D13" s="8">
        <v>1596</v>
      </c>
      <c r="E13" s="8">
        <v>18145</v>
      </c>
      <c r="F13" s="8"/>
      <c r="G13" s="8">
        <f t="shared" si="1"/>
        <v>19741</v>
      </c>
      <c r="H13" s="8">
        <f t="shared" si="4"/>
        <v>121219</v>
      </c>
      <c r="I13" s="8">
        <f t="shared" si="2"/>
        <v>88580.99999999997</v>
      </c>
      <c r="J13" s="8">
        <f>AVERAGE(G12:G13)</f>
        <v>21266</v>
      </c>
      <c r="K13" s="9">
        <v>156</v>
      </c>
      <c r="L13" s="9">
        <v>199</v>
      </c>
      <c r="M13" s="10">
        <v>21</v>
      </c>
    </row>
    <row r="14" spans="1:13" ht="18" hidden="1">
      <c r="A14" s="7">
        <v>39448</v>
      </c>
      <c r="B14" s="8">
        <f t="shared" si="0"/>
        <v>34966.666666666664</v>
      </c>
      <c r="C14" s="8">
        <f t="shared" si="3"/>
        <v>244766.66666666663</v>
      </c>
      <c r="D14" s="8">
        <v>5434</v>
      </c>
      <c r="E14" s="8">
        <v>18623</v>
      </c>
      <c r="F14" s="8"/>
      <c r="G14" s="8">
        <f t="shared" si="1"/>
        <v>24057</v>
      </c>
      <c r="H14" s="8">
        <f t="shared" si="4"/>
        <v>145276</v>
      </c>
      <c r="I14" s="8">
        <f t="shared" si="2"/>
        <v>99490.66666666663</v>
      </c>
      <c r="J14" s="8">
        <f>AVERAGE(G12:G14)</f>
        <v>22196.333333333332</v>
      </c>
      <c r="K14" s="9">
        <v>165</v>
      </c>
      <c r="L14" s="9">
        <v>242</v>
      </c>
      <c r="M14" s="10">
        <v>25</v>
      </c>
    </row>
    <row r="15" spans="1:13" ht="18" hidden="1">
      <c r="A15" s="7">
        <v>39479</v>
      </c>
      <c r="B15" s="8">
        <f t="shared" si="0"/>
        <v>34966.666666666664</v>
      </c>
      <c r="C15" s="8">
        <f t="shared" si="3"/>
        <v>279733.3333333333</v>
      </c>
      <c r="D15" s="8">
        <v>3541</v>
      </c>
      <c r="E15" s="8">
        <v>17172</v>
      </c>
      <c r="F15" s="8"/>
      <c r="G15" s="8">
        <f t="shared" si="1"/>
        <v>20713</v>
      </c>
      <c r="H15" s="8">
        <f t="shared" si="4"/>
        <v>165989</v>
      </c>
      <c r="I15" s="8">
        <f t="shared" si="2"/>
        <v>113744.33333333331</v>
      </c>
      <c r="J15" s="8">
        <f>AVERAGE(G12:G15)</f>
        <v>21825.5</v>
      </c>
      <c r="K15" s="9">
        <v>176</v>
      </c>
      <c r="L15" s="9">
        <v>230</v>
      </c>
      <c r="M15" s="10">
        <v>27</v>
      </c>
    </row>
    <row r="16" spans="1:13" ht="18" hidden="1">
      <c r="A16" s="7">
        <v>39508</v>
      </c>
      <c r="B16" s="8">
        <f t="shared" si="0"/>
        <v>34966.666666666664</v>
      </c>
      <c r="C16" s="8">
        <f t="shared" si="3"/>
        <v>314700</v>
      </c>
      <c r="D16" s="8">
        <v>1370</v>
      </c>
      <c r="E16" s="8">
        <v>11514</v>
      </c>
      <c r="F16" s="8"/>
      <c r="G16" s="8">
        <f t="shared" si="1"/>
        <v>12884</v>
      </c>
      <c r="H16" s="8">
        <f t="shared" si="4"/>
        <v>178873</v>
      </c>
      <c r="I16" s="8">
        <f t="shared" si="2"/>
        <v>135827</v>
      </c>
      <c r="J16" s="8">
        <f>AVERAGE(G12:G16)</f>
        <v>20037.2</v>
      </c>
      <c r="K16" s="9">
        <v>174</v>
      </c>
      <c r="L16" s="9">
        <v>201</v>
      </c>
      <c r="M16" s="10">
        <v>32</v>
      </c>
    </row>
    <row r="17" spans="1:13" ht="18" hidden="1">
      <c r="A17" s="7">
        <v>39539</v>
      </c>
      <c r="B17" s="8">
        <f t="shared" si="0"/>
        <v>34966.666666666664</v>
      </c>
      <c r="C17" s="8">
        <f t="shared" si="3"/>
        <v>349666.6666666667</v>
      </c>
      <c r="D17" s="8">
        <v>4083</v>
      </c>
      <c r="E17" s="8">
        <v>25139</v>
      </c>
      <c r="F17" s="8"/>
      <c r="G17" s="8">
        <f t="shared" si="1"/>
        <v>29222</v>
      </c>
      <c r="H17" s="8">
        <f t="shared" si="4"/>
        <v>208095</v>
      </c>
      <c r="I17" s="8">
        <f t="shared" si="2"/>
        <v>141571.6666666667</v>
      </c>
      <c r="J17" s="8">
        <f>AVERAGE(G14:G17)</f>
        <v>21719</v>
      </c>
      <c r="K17" s="9">
        <v>159</v>
      </c>
      <c r="L17" s="9">
        <v>250</v>
      </c>
      <c r="M17" s="10">
        <v>34</v>
      </c>
    </row>
    <row r="18" spans="1:13" ht="18" hidden="1">
      <c r="A18" s="7">
        <v>39569</v>
      </c>
      <c r="B18" s="11">
        <f t="shared" si="0"/>
        <v>34966.666666666664</v>
      </c>
      <c r="C18" s="11">
        <f t="shared" si="3"/>
        <v>384633.3333333334</v>
      </c>
      <c r="D18" s="11">
        <v>5409</v>
      </c>
      <c r="E18" s="11">
        <v>24532</v>
      </c>
      <c r="F18" s="11"/>
      <c r="G18" s="8">
        <f t="shared" si="1"/>
        <v>29941</v>
      </c>
      <c r="H18" s="8">
        <f t="shared" si="4"/>
        <v>238036</v>
      </c>
      <c r="I18" s="8">
        <f t="shared" si="2"/>
        <v>146597.33333333337</v>
      </c>
      <c r="J18" s="8">
        <f>AVERAGE(G14:G18)</f>
        <v>23363.4</v>
      </c>
      <c r="K18" s="9">
        <v>157</v>
      </c>
      <c r="L18" s="9">
        <v>254</v>
      </c>
      <c r="M18" s="10">
        <v>38</v>
      </c>
    </row>
    <row r="19" spans="1:13" ht="18.75" hidden="1" thickBot="1">
      <c r="A19" s="7">
        <v>39600</v>
      </c>
      <c r="B19" s="12">
        <f t="shared" si="0"/>
        <v>34966.666666666664</v>
      </c>
      <c r="C19" s="12">
        <f t="shared" si="3"/>
        <v>419600.00000000006</v>
      </c>
      <c r="D19" s="12">
        <v>6421</v>
      </c>
      <c r="E19" s="12">
        <v>33339</v>
      </c>
      <c r="F19" s="12"/>
      <c r="G19" s="12">
        <f t="shared" si="1"/>
        <v>39760</v>
      </c>
      <c r="H19" s="12">
        <f t="shared" si="4"/>
        <v>277796</v>
      </c>
      <c r="I19" s="12">
        <f t="shared" si="2"/>
        <v>141804.00000000006</v>
      </c>
      <c r="J19" s="12">
        <f>AVERAGE(G15:G19)</f>
        <v>26504</v>
      </c>
      <c r="K19" s="13">
        <v>162</v>
      </c>
      <c r="L19" s="13">
        <v>243</v>
      </c>
      <c r="M19" s="14">
        <v>46</v>
      </c>
    </row>
    <row r="20" spans="1:13" ht="18" hidden="1">
      <c r="A20" s="7">
        <v>39630</v>
      </c>
      <c r="B20" s="15">
        <v>46559.8</v>
      </c>
      <c r="C20" s="11">
        <f>B20</f>
        <v>46559.8</v>
      </c>
      <c r="D20" s="11">
        <v>4532</v>
      </c>
      <c r="E20" s="11">
        <v>43314</v>
      </c>
      <c r="F20" s="11"/>
      <c r="G20" s="11">
        <f t="shared" si="1"/>
        <v>47846</v>
      </c>
      <c r="H20" s="11">
        <f>G20</f>
        <v>47846</v>
      </c>
      <c r="I20" s="11">
        <f t="shared" si="2"/>
        <v>-1286.199999999997</v>
      </c>
      <c r="J20" s="11">
        <f>H20</f>
        <v>47846</v>
      </c>
      <c r="K20" s="9">
        <v>199</v>
      </c>
      <c r="L20" s="9">
        <v>265</v>
      </c>
      <c r="M20" s="10">
        <v>52</v>
      </c>
    </row>
    <row r="21" spans="1:13" ht="18" hidden="1">
      <c r="A21" s="7">
        <v>39661</v>
      </c>
      <c r="B21" s="15">
        <v>46559.8</v>
      </c>
      <c r="C21" s="11">
        <f aca="true" t="shared" si="5" ref="C21:C31">C20+B21</f>
        <v>93119.6</v>
      </c>
      <c r="D21" s="11">
        <v>1260</v>
      </c>
      <c r="E21" s="11">
        <v>44592</v>
      </c>
      <c r="F21" s="11"/>
      <c r="G21" s="11">
        <f t="shared" si="1"/>
        <v>45852</v>
      </c>
      <c r="H21" s="11">
        <f aca="true" t="shared" si="6" ref="H21:H31">H20+G21</f>
        <v>93698</v>
      </c>
      <c r="I21" s="11">
        <f t="shared" si="2"/>
        <v>-578.3999999999942</v>
      </c>
      <c r="J21" s="11">
        <f>H21/2</f>
        <v>46849</v>
      </c>
      <c r="K21" s="9">
        <v>188</v>
      </c>
      <c r="L21" s="9">
        <v>272</v>
      </c>
      <c r="M21" s="10">
        <v>54</v>
      </c>
    </row>
    <row r="22" spans="1:13" ht="18" hidden="1">
      <c r="A22" s="7">
        <v>39692</v>
      </c>
      <c r="B22" s="15">
        <v>46559.8</v>
      </c>
      <c r="C22" s="11">
        <f t="shared" si="5"/>
        <v>139679.40000000002</v>
      </c>
      <c r="D22" s="11">
        <v>4384</v>
      </c>
      <c r="E22" s="11">
        <v>39669</v>
      </c>
      <c r="F22" s="11"/>
      <c r="G22" s="11">
        <f t="shared" si="1"/>
        <v>44053</v>
      </c>
      <c r="H22" s="11">
        <f t="shared" si="6"/>
        <v>137751</v>
      </c>
      <c r="I22" s="11">
        <f t="shared" si="2"/>
        <v>1928.4000000000233</v>
      </c>
      <c r="J22" s="11">
        <f>H22/3</f>
        <v>45917</v>
      </c>
      <c r="K22" s="9">
        <v>187</v>
      </c>
      <c r="L22" s="9">
        <v>291</v>
      </c>
      <c r="M22" s="10">
        <v>59</v>
      </c>
    </row>
    <row r="23" spans="1:13" ht="18" hidden="1">
      <c r="A23" s="7">
        <v>39722</v>
      </c>
      <c r="B23" s="15">
        <v>46559.8</v>
      </c>
      <c r="C23" s="11">
        <f t="shared" si="5"/>
        <v>186239.2</v>
      </c>
      <c r="D23" s="11">
        <v>7785</v>
      </c>
      <c r="E23" s="11">
        <v>40148</v>
      </c>
      <c r="F23" s="11"/>
      <c r="G23" s="11">
        <f t="shared" si="1"/>
        <v>47933</v>
      </c>
      <c r="H23" s="11">
        <f t="shared" si="6"/>
        <v>185684</v>
      </c>
      <c r="I23" s="11">
        <f t="shared" si="2"/>
        <v>555.2000000000116</v>
      </c>
      <c r="J23" s="11">
        <f>H23/4</f>
        <v>46421</v>
      </c>
      <c r="K23" s="9">
        <v>193</v>
      </c>
      <c r="L23" s="9">
        <v>287</v>
      </c>
      <c r="M23" s="10">
        <v>65</v>
      </c>
    </row>
    <row r="24" spans="1:13" ht="18" hidden="1">
      <c r="A24" s="7">
        <v>39753</v>
      </c>
      <c r="B24" s="15">
        <v>46559.8</v>
      </c>
      <c r="C24" s="11">
        <f t="shared" si="5"/>
        <v>232799</v>
      </c>
      <c r="D24" s="11">
        <v>8386</v>
      </c>
      <c r="E24" s="11">
        <v>35027</v>
      </c>
      <c r="F24" s="11"/>
      <c r="G24" s="11">
        <f t="shared" si="1"/>
        <v>43413</v>
      </c>
      <c r="H24" s="11">
        <f t="shared" si="6"/>
        <v>229097</v>
      </c>
      <c r="I24" s="11">
        <f t="shared" si="2"/>
        <v>3702</v>
      </c>
      <c r="J24" s="11">
        <f>H24/5</f>
        <v>45819.4</v>
      </c>
      <c r="K24" s="9">
        <v>206</v>
      </c>
      <c r="L24" s="9">
        <v>296</v>
      </c>
      <c r="M24" s="10">
        <v>62</v>
      </c>
    </row>
    <row r="25" spans="1:13" ht="18" hidden="1">
      <c r="A25" s="7">
        <v>39783</v>
      </c>
      <c r="B25" s="16">
        <v>23745.571428571428</v>
      </c>
      <c r="C25" s="11">
        <f t="shared" si="5"/>
        <v>256544.57142857142</v>
      </c>
      <c r="D25" s="11">
        <v>2368</v>
      </c>
      <c r="E25" s="11">
        <v>39707</v>
      </c>
      <c r="F25" s="11"/>
      <c r="G25" s="11">
        <f t="shared" si="1"/>
        <v>42075</v>
      </c>
      <c r="H25" s="11">
        <f t="shared" si="6"/>
        <v>271172</v>
      </c>
      <c r="I25" s="11">
        <f t="shared" si="2"/>
        <v>-14627.42857142858</v>
      </c>
      <c r="J25" s="11">
        <f>H25/6</f>
        <v>45195.333333333336</v>
      </c>
      <c r="K25" s="9">
        <v>215</v>
      </c>
      <c r="L25" s="9">
        <v>269</v>
      </c>
      <c r="M25" s="10">
        <v>70</v>
      </c>
    </row>
    <row r="26" spans="1:13" ht="18" hidden="1">
      <c r="A26" s="7">
        <v>39814</v>
      </c>
      <c r="B26" s="16">
        <v>23745.571428571428</v>
      </c>
      <c r="C26" s="11">
        <f t="shared" si="5"/>
        <v>280290.14285714284</v>
      </c>
      <c r="D26" s="11">
        <v>4009</v>
      </c>
      <c r="E26" s="11">
        <v>30366</v>
      </c>
      <c r="F26" s="11"/>
      <c r="G26" s="11">
        <f t="shared" si="1"/>
        <v>34375</v>
      </c>
      <c r="H26" s="11">
        <f t="shared" si="6"/>
        <v>305547</v>
      </c>
      <c r="I26" s="11">
        <f t="shared" si="2"/>
        <v>-25256.85714285716</v>
      </c>
      <c r="J26" s="11">
        <f>H26/7</f>
        <v>43649.57142857143</v>
      </c>
      <c r="K26" s="9">
        <v>222</v>
      </c>
      <c r="L26" s="9">
        <v>340</v>
      </c>
      <c r="M26" s="10">
        <v>67</v>
      </c>
    </row>
    <row r="27" spans="1:13" ht="18" hidden="1">
      <c r="A27" s="7">
        <v>39845</v>
      </c>
      <c r="B27" s="16">
        <v>23745.571428571428</v>
      </c>
      <c r="C27" s="11">
        <f t="shared" si="5"/>
        <v>304035.71428571426</v>
      </c>
      <c r="D27" s="11">
        <v>383</v>
      </c>
      <c r="E27" s="11">
        <v>21800</v>
      </c>
      <c r="F27" s="11"/>
      <c r="G27" s="11">
        <f t="shared" si="1"/>
        <v>22183</v>
      </c>
      <c r="H27" s="11">
        <f t="shared" si="6"/>
        <v>327730</v>
      </c>
      <c r="I27" s="11">
        <f t="shared" si="2"/>
        <v>-23694.28571428574</v>
      </c>
      <c r="J27" s="11">
        <f>H27/8</f>
        <v>40966.25</v>
      </c>
      <c r="K27" s="9">
        <v>238</v>
      </c>
      <c r="L27" s="9">
        <v>317</v>
      </c>
      <c r="M27" s="10">
        <v>62</v>
      </c>
    </row>
    <row r="28" spans="1:13" ht="18" hidden="1">
      <c r="A28" s="7">
        <v>39873</v>
      </c>
      <c r="B28" s="16">
        <v>23745.571428571428</v>
      </c>
      <c r="C28" s="11">
        <f t="shared" si="5"/>
        <v>327781.2857142857</v>
      </c>
      <c r="D28" s="11">
        <v>681</v>
      </c>
      <c r="E28" s="11">
        <v>30069</v>
      </c>
      <c r="F28" s="11"/>
      <c r="G28" s="11">
        <f t="shared" si="1"/>
        <v>30750</v>
      </c>
      <c r="H28" s="11">
        <f t="shared" si="6"/>
        <v>358480</v>
      </c>
      <c r="I28" s="11">
        <f t="shared" si="2"/>
        <v>-30698.71428571432</v>
      </c>
      <c r="J28" s="11">
        <f>H28/9</f>
        <v>39831.11111111111</v>
      </c>
      <c r="K28" s="9">
        <v>244</v>
      </c>
      <c r="L28" s="9">
        <v>314</v>
      </c>
      <c r="M28" s="10">
        <v>57</v>
      </c>
    </row>
    <row r="29" spans="1:13" ht="18" hidden="1">
      <c r="A29" s="7">
        <v>39904</v>
      </c>
      <c r="B29" s="16">
        <v>23745.571428571428</v>
      </c>
      <c r="C29" s="11">
        <f t="shared" si="5"/>
        <v>351526.8571428571</v>
      </c>
      <c r="D29" s="11">
        <v>4182</v>
      </c>
      <c r="E29" s="11">
        <v>27618</v>
      </c>
      <c r="F29" s="11"/>
      <c r="G29" s="11">
        <f t="shared" si="1"/>
        <v>31800</v>
      </c>
      <c r="H29" s="11">
        <f t="shared" si="6"/>
        <v>390280</v>
      </c>
      <c r="I29" s="11">
        <f t="shared" si="2"/>
        <v>-38753.1428571429</v>
      </c>
      <c r="J29" s="11">
        <f>H29/10</f>
        <v>39028</v>
      </c>
      <c r="K29" s="9">
        <v>248</v>
      </c>
      <c r="L29" s="9">
        <v>334</v>
      </c>
      <c r="M29" s="10">
        <v>61</v>
      </c>
    </row>
    <row r="30" spans="1:13" ht="18" hidden="1">
      <c r="A30" s="7">
        <v>39934</v>
      </c>
      <c r="B30" s="16">
        <v>23745.571428571428</v>
      </c>
      <c r="C30" s="11">
        <f t="shared" si="5"/>
        <v>375272.4285714285</v>
      </c>
      <c r="D30" s="11">
        <v>2123</v>
      </c>
      <c r="E30" s="11">
        <v>32810</v>
      </c>
      <c r="F30" s="11"/>
      <c r="G30" s="11">
        <f t="shared" si="1"/>
        <v>34933</v>
      </c>
      <c r="H30" s="11">
        <f t="shared" si="6"/>
        <v>425213</v>
      </c>
      <c r="I30" s="11">
        <f t="shared" si="2"/>
        <v>-49940.57142857148</v>
      </c>
      <c r="J30" s="11">
        <f>H30/11</f>
        <v>38655.72727272727</v>
      </c>
      <c r="K30" s="9">
        <v>266</v>
      </c>
      <c r="L30" s="9">
        <v>334</v>
      </c>
      <c r="M30" s="10">
        <v>60</v>
      </c>
    </row>
    <row r="31" spans="1:13" ht="18.75" hidden="1" thickBot="1">
      <c r="A31" s="7">
        <v>39965</v>
      </c>
      <c r="B31" s="17">
        <v>23745.571428571428</v>
      </c>
      <c r="C31" s="12">
        <f t="shared" si="5"/>
        <v>399017.99999999994</v>
      </c>
      <c r="D31" s="12">
        <v>2029</v>
      </c>
      <c r="E31" s="12">
        <v>31328</v>
      </c>
      <c r="F31" s="12"/>
      <c r="G31" s="12">
        <f t="shared" si="1"/>
        <v>33357</v>
      </c>
      <c r="H31" s="12">
        <f t="shared" si="6"/>
        <v>458570</v>
      </c>
      <c r="I31" s="12">
        <f t="shared" si="2"/>
        <v>-59552.00000000006</v>
      </c>
      <c r="J31" s="12">
        <f>H31/12</f>
        <v>38214.166666666664</v>
      </c>
      <c r="K31" s="18">
        <v>272</v>
      </c>
      <c r="L31" s="18">
        <v>317</v>
      </c>
      <c r="M31" s="18">
        <v>68</v>
      </c>
    </row>
    <row r="32" spans="1:13" ht="18" hidden="1">
      <c r="A32" s="7">
        <v>40725</v>
      </c>
      <c r="B32" s="15">
        <f aca="true" t="shared" si="7" ref="B32:B43">$B$86/12</f>
        <v>8653.25</v>
      </c>
      <c r="C32" s="11">
        <f>B32</f>
        <v>8653.25</v>
      </c>
      <c r="D32" s="11">
        <v>0</v>
      </c>
      <c r="E32" s="11">
        <v>1849</v>
      </c>
      <c r="F32" s="11">
        <v>0</v>
      </c>
      <c r="G32" s="11">
        <f t="shared" si="1"/>
        <v>1849</v>
      </c>
      <c r="H32" s="11">
        <f>G32</f>
        <v>1849</v>
      </c>
      <c r="I32" s="11">
        <f t="shared" si="2"/>
        <v>6804.25</v>
      </c>
      <c r="J32" s="11">
        <f>H32</f>
        <v>1849</v>
      </c>
      <c r="K32" s="19">
        <v>428</v>
      </c>
      <c r="L32" s="19">
        <v>225</v>
      </c>
      <c r="M32" s="19">
        <v>74</v>
      </c>
    </row>
    <row r="33" spans="1:13" ht="18" hidden="1">
      <c r="A33" s="7">
        <v>40756</v>
      </c>
      <c r="B33" s="15">
        <f t="shared" si="7"/>
        <v>8653.25</v>
      </c>
      <c r="C33" s="11">
        <f aca="true" t="shared" si="8" ref="C33:C43">C32+B33</f>
        <v>17306.5</v>
      </c>
      <c r="D33" s="11">
        <v>0</v>
      </c>
      <c r="E33" s="11">
        <v>2670</v>
      </c>
      <c r="F33" s="11">
        <v>0</v>
      </c>
      <c r="G33" s="11">
        <f t="shared" si="1"/>
        <v>2670</v>
      </c>
      <c r="H33" s="11">
        <f aca="true" t="shared" si="9" ref="H33:H43">H32+G33</f>
        <v>4519</v>
      </c>
      <c r="I33" s="11">
        <f t="shared" si="2"/>
        <v>12787.5</v>
      </c>
      <c r="J33" s="11">
        <f>H33/2</f>
        <v>2259.5</v>
      </c>
      <c r="K33" s="19">
        <v>370</v>
      </c>
      <c r="L33" s="19">
        <v>238</v>
      </c>
      <c r="M33" s="19">
        <v>80</v>
      </c>
    </row>
    <row r="34" spans="1:13" ht="18" hidden="1">
      <c r="A34" s="7">
        <v>40787</v>
      </c>
      <c r="B34" s="15">
        <f t="shared" si="7"/>
        <v>8653.25</v>
      </c>
      <c r="C34" s="11">
        <f t="shared" si="8"/>
        <v>25959.75</v>
      </c>
      <c r="D34" s="11">
        <v>0</v>
      </c>
      <c r="E34" s="11">
        <v>2228</v>
      </c>
      <c r="F34" s="11">
        <v>0</v>
      </c>
      <c r="G34" s="11">
        <f aca="true" t="shared" si="10" ref="G34:G55">D34+E34+F34</f>
        <v>2228</v>
      </c>
      <c r="H34" s="11">
        <f t="shared" si="9"/>
        <v>6747</v>
      </c>
      <c r="I34" s="11">
        <f t="shared" si="2"/>
        <v>19212.75</v>
      </c>
      <c r="J34" s="11">
        <f>H34/3</f>
        <v>2249</v>
      </c>
      <c r="K34" s="19">
        <v>390</v>
      </c>
      <c r="L34" s="19">
        <v>243</v>
      </c>
      <c r="M34" s="19">
        <v>89</v>
      </c>
    </row>
    <row r="35" spans="1:13" ht="18" hidden="1">
      <c r="A35" s="7">
        <v>40817</v>
      </c>
      <c r="B35" s="15">
        <f t="shared" si="7"/>
        <v>8653.25</v>
      </c>
      <c r="C35" s="11">
        <f t="shared" si="8"/>
        <v>34613</v>
      </c>
      <c r="D35" s="11">
        <v>0</v>
      </c>
      <c r="E35" s="11">
        <v>4680</v>
      </c>
      <c r="F35" s="11">
        <v>0</v>
      </c>
      <c r="G35" s="11">
        <f t="shared" si="10"/>
        <v>4680</v>
      </c>
      <c r="H35" s="11">
        <f t="shared" si="9"/>
        <v>11427</v>
      </c>
      <c r="I35" s="11">
        <f t="shared" si="2"/>
        <v>23186</v>
      </c>
      <c r="J35" s="11">
        <f>H35/4</f>
        <v>2856.75</v>
      </c>
      <c r="K35" s="19">
        <v>505</v>
      </c>
      <c r="L35" s="19">
        <v>275</v>
      </c>
      <c r="M35" s="19">
        <v>86</v>
      </c>
    </row>
    <row r="36" spans="1:13" ht="18" hidden="1">
      <c r="A36" s="7">
        <v>40848</v>
      </c>
      <c r="B36" s="15">
        <f t="shared" si="7"/>
        <v>8653.25</v>
      </c>
      <c r="C36" s="11">
        <f t="shared" si="8"/>
        <v>43266.25</v>
      </c>
      <c r="D36" s="11">
        <v>0</v>
      </c>
      <c r="E36" s="11">
        <v>1650</v>
      </c>
      <c r="F36" s="11">
        <v>0</v>
      </c>
      <c r="G36" s="11">
        <f t="shared" si="10"/>
        <v>1650</v>
      </c>
      <c r="H36" s="11">
        <f t="shared" si="9"/>
        <v>13077</v>
      </c>
      <c r="I36" s="11">
        <f t="shared" si="2"/>
        <v>30189.25</v>
      </c>
      <c r="J36" s="11">
        <f>H36/5</f>
        <v>2615.4</v>
      </c>
      <c r="K36" s="19">
        <v>497</v>
      </c>
      <c r="L36" s="19">
        <v>249</v>
      </c>
      <c r="M36" s="19">
        <v>81</v>
      </c>
    </row>
    <row r="37" spans="1:13" ht="18" hidden="1">
      <c r="A37" s="7">
        <v>40878</v>
      </c>
      <c r="B37" s="15">
        <f t="shared" si="7"/>
        <v>8653.25</v>
      </c>
      <c r="C37" s="11">
        <f t="shared" si="8"/>
        <v>51919.5</v>
      </c>
      <c r="D37" s="11">
        <v>0</v>
      </c>
      <c r="E37" s="11">
        <f>4954-F37</f>
        <v>2434</v>
      </c>
      <c r="F37" s="11">
        <v>2520</v>
      </c>
      <c r="G37" s="11">
        <f t="shared" si="10"/>
        <v>4954</v>
      </c>
      <c r="H37" s="11">
        <f t="shared" si="9"/>
        <v>18031</v>
      </c>
      <c r="I37" s="11">
        <f t="shared" si="2"/>
        <v>33888.5</v>
      </c>
      <c r="J37" s="11">
        <f>H37/6</f>
        <v>3005.1666666666665</v>
      </c>
      <c r="K37" s="19">
        <v>493</v>
      </c>
      <c r="L37" s="19">
        <v>244</v>
      </c>
      <c r="M37" s="19">
        <v>70</v>
      </c>
    </row>
    <row r="38" spans="1:13" ht="18" hidden="1">
      <c r="A38" s="7">
        <v>40909</v>
      </c>
      <c r="B38" s="15">
        <f t="shared" si="7"/>
        <v>8653.25</v>
      </c>
      <c r="C38" s="11">
        <f t="shared" si="8"/>
        <v>60572.75</v>
      </c>
      <c r="D38" s="11">
        <v>0</v>
      </c>
      <c r="E38" s="11">
        <v>1572</v>
      </c>
      <c r="F38" s="11">
        <v>0</v>
      </c>
      <c r="G38" s="11">
        <f t="shared" si="10"/>
        <v>1572</v>
      </c>
      <c r="H38" s="11">
        <f t="shared" si="9"/>
        <v>19603</v>
      </c>
      <c r="I38" s="11">
        <f t="shared" si="2"/>
        <v>40969.75</v>
      </c>
      <c r="J38" s="11">
        <f>H38/7</f>
        <v>2800.4285714285716</v>
      </c>
      <c r="K38" s="19">
        <v>476</v>
      </c>
      <c r="L38" s="19">
        <v>234</v>
      </c>
      <c r="M38" s="19">
        <v>68</v>
      </c>
    </row>
    <row r="39" spans="1:13" ht="18" hidden="1">
      <c r="A39" s="7">
        <v>40940</v>
      </c>
      <c r="B39" s="15">
        <f t="shared" si="7"/>
        <v>8653.25</v>
      </c>
      <c r="C39" s="11">
        <f t="shared" si="8"/>
        <v>69226</v>
      </c>
      <c r="D39" s="11">
        <v>0</v>
      </c>
      <c r="E39" s="11">
        <v>4138</v>
      </c>
      <c r="F39" s="11">
        <v>0</v>
      </c>
      <c r="G39" s="11">
        <f t="shared" si="10"/>
        <v>4138</v>
      </c>
      <c r="H39" s="11">
        <f t="shared" si="9"/>
        <v>23741</v>
      </c>
      <c r="I39" s="11">
        <f t="shared" si="2"/>
        <v>45485</v>
      </c>
      <c r="J39" s="11">
        <f>H39/8</f>
        <v>2967.625</v>
      </c>
      <c r="K39" s="19">
        <v>454</v>
      </c>
      <c r="L39" s="19">
        <v>223</v>
      </c>
      <c r="M39" s="19">
        <v>65</v>
      </c>
    </row>
    <row r="40" spans="1:13" ht="18" hidden="1">
      <c r="A40" s="7">
        <v>40969</v>
      </c>
      <c r="B40" s="15">
        <f t="shared" si="7"/>
        <v>8653.25</v>
      </c>
      <c r="C40" s="11">
        <f t="shared" si="8"/>
        <v>77879.25</v>
      </c>
      <c r="D40" s="11">
        <v>0</v>
      </c>
      <c r="E40" s="11">
        <v>2386</v>
      </c>
      <c r="F40" s="11">
        <v>0</v>
      </c>
      <c r="G40" s="11">
        <f t="shared" si="10"/>
        <v>2386</v>
      </c>
      <c r="H40" s="11">
        <f t="shared" si="9"/>
        <v>26127</v>
      </c>
      <c r="I40" s="11">
        <f aca="true" t="shared" si="11" ref="I40:I59">C40-H40</f>
        <v>51752.25</v>
      </c>
      <c r="J40" s="11">
        <f>H40/9</f>
        <v>2903</v>
      </c>
      <c r="K40" s="19">
        <v>437</v>
      </c>
      <c r="L40" s="19">
        <v>248</v>
      </c>
      <c r="M40" s="19">
        <v>65</v>
      </c>
    </row>
    <row r="41" spans="1:13" ht="18" hidden="1">
      <c r="A41" s="7">
        <v>41000</v>
      </c>
      <c r="B41" s="15">
        <f t="shared" si="7"/>
        <v>8653.25</v>
      </c>
      <c r="C41" s="11">
        <f t="shared" si="8"/>
        <v>86532.5</v>
      </c>
      <c r="D41" s="11">
        <v>0</v>
      </c>
      <c r="E41" s="11">
        <v>3255</v>
      </c>
      <c r="F41" s="11">
        <v>0</v>
      </c>
      <c r="G41" s="11">
        <f t="shared" si="10"/>
        <v>3255</v>
      </c>
      <c r="H41" s="11">
        <f t="shared" si="9"/>
        <v>29382</v>
      </c>
      <c r="I41" s="11">
        <f t="shared" si="11"/>
        <v>57150.5</v>
      </c>
      <c r="J41" s="11">
        <f>H41/10</f>
        <v>2938.2</v>
      </c>
      <c r="K41" s="19">
        <v>490</v>
      </c>
      <c r="L41" s="19">
        <v>243</v>
      </c>
      <c r="M41" s="19">
        <v>44</v>
      </c>
    </row>
    <row r="42" spans="1:13" ht="18" hidden="1">
      <c r="A42" s="7">
        <v>41030</v>
      </c>
      <c r="B42" s="15">
        <f t="shared" si="7"/>
        <v>8653.25</v>
      </c>
      <c r="C42" s="11">
        <f t="shared" si="8"/>
        <v>95185.75</v>
      </c>
      <c r="D42" s="11">
        <v>0</v>
      </c>
      <c r="E42" s="11">
        <v>7388</v>
      </c>
      <c r="F42" s="11">
        <v>0</v>
      </c>
      <c r="G42" s="11">
        <f t="shared" si="10"/>
        <v>7388</v>
      </c>
      <c r="H42" s="11">
        <f t="shared" si="9"/>
        <v>36770</v>
      </c>
      <c r="I42" s="11">
        <f t="shared" si="11"/>
        <v>58415.75</v>
      </c>
      <c r="J42" s="11">
        <f>H42/11</f>
        <v>3342.7272727272725</v>
      </c>
      <c r="K42" s="19">
        <v>380</v>
      </c>
      <c r="L42" s="19">
        <v>194</v>
      </c>
      <c r="M42" s="19">
        <v>0</v>
      </c>
    </row>
    <row r="43" spans="1:13" ht="18.75" hidden="1" thickBot="1">
      <c r="A43" s="7">
        <v>41061</v>
      </c>
      <c r="B43" s="17">
        <f t="shared" si="7"/>
        <v>8653.25</v>
      </c>
      <c r="C43" s="12">
        <f t="shared" si="8"/>
        <v>103839</v>
      </c>
      <c r="D43" s="12">
        <v>0</v>
      </c>
      <c r="E43" s="12">
        <v>5359</v>
      </c>
      <c r="F43" s="12">
        <v>0</v>
      </c>
      <c r="G43" s="12">
        <f t="shared" si="10"/>
        <v>5359</v>
      </c>
      <c r="H43" s="12">
        <f t="shared" si="9"/>
        <v>42129</v>
      </c>
      <c r="I43" s="12">
        <f t="shared" si="11"/>
        <v>61710</v>
      </c>
      <c r="J43" s="12">
        <f>H43/12</f>
        <v>3510.75</v>
      </c>
      <c r="K43" s="18">
        <v>354</v>
      </c>
      <c r="L43" s="18">
        <v>177</v>
      </c>
      <c r="M43" s="18">
        <v>0</v>
      </c>
    </row>
    <row r="44" spans="1:13" ht="18" hidden="1">
      <c r="A44" s="7">
        <v>41091</v>
      </c>
      <c r="B44" s="15">
        <f aca="true" t="shared" si="12" ref="B44:B55">$B$87/12</f>
        <v>13044</v>
      </c>
      <c r="C44" s="11">
        <f>B44</f>
        <v>13044</v>
      </c>
      <c r="D44" s="11">
        <v>0</v>
      </c>
      <c r="E44" s="11">
        <f>5585-F44</f>
        <v>8105</v>
      </c>
      <c r="F44" s="11">
        <v>-2520</v>
      </c>
      <c r="G44" s="11">
        <f t="shared" si="10"/>
        <v>5585</v>
      </c>
      <c r="H44" s="11">
        <f>G44</f>
        <v>5585</v>
      </c>
      <c r="I44" s="11">
        <f t="shared" si="11"/>
        <v>7459</v>
      </c>
      <c r="J44" s="11">
        <f>H44/1</f>
        <v>5585</v>
      </c>
      <c r="K44" s="19">
        <v>312</v>
      </c>
      <c r="L44" s="19">
        <v>153</v>
      </c>
      <c r="M44" s="19"/>
    </row>
    <row r="45" spans="1:13" ht="18" hidden="1">
      <c r="A45" s="7">
        <v>41122</v>
      </c>
      <c r="B45" s="15">
        <f t="shared" si="12"/>
        <v>13044</v>
      </c>
      <c r="C45" s="11">
        <f aca="true" t="shared" si="13" ref="C45:C55">C44+B45</f>
        <v>26088</v>
      </c>
      <c r="D45" s="11">
        <v>0</v>
      </c>
      <c r="E45" s="11">
        <v>13314</v>
      </c>
      <c r="F45" s="11">
        <v>0</v>
      </c>
      <c r="G45" s="11">
        <f t="shared" si="10"/>
        <v>13314</v>
      </c>
      <c r="H45" s="11">
        <f aca="true" t="shared" si="14" ref="H45:H55">H44+G45</f>
        <v>18899</v>
      </c>
      <c r="I45" s="11">
        <f t="shared" si="11"/>
        <v>7189</v>
      </c>
      <c r="J45" s="11">
        <f>H45/2</f>
        <v>9449.5</v>
      </c>
      <c r="K45" s="19">
        <v>316</v>
      </c>
      <c r="L45" s="19">
        <v>173</v>
      </c>
      <c r="M45" s="19"/>
    </row>
    <row r="46" spans="1:13" ht="18" hidden="1">
      <c r="A46" s="7">
        <v>41153</v>
      </c>
      <c r="B46" s="15">
        <f t="shared" si="12"/>
        <v>13044</v>
      </c>
      <c r="C46" s="11">
        <f t="shared" si="13"/>
        <v>39132</v>
      </c>
      <c r="D46" s="11">
        <v>0</v>
      </c>
      <c r="E46" s="11">
        <v>15706</v>
      </c>
      <c r="F46" s="11">
        <v>0</v>
      </c>
      <c r="G46" s="11">
        <f t="shared" si="10"/>
        <v>15706</v>
      </c>
      <c r="H46" s="11">
        <f t="shared" si="14"/>
        <v>34605</v>
      </c>
      <c r="I46" s="11">
        <f t="shared" si="11"/>
        <v>4527</v>
      </c>
      <c r="J46" s="11">
        <f>H46/3</f>
        <v>11535</v>
      </c>
      <c r="K46" s="19">
        <v>312</v>
      </c>
      <c r="L46" s="19">
        <v>160</v>
      </c>
      <c r="M46" s="19"/>
    </row>
    <row r="47" spans="1:13" ht="18" hidden="1">
      <c r="A47" s="7">
        <v>41183</v>
      </c>
      <c r="B47" s="15">
        <f t="shared" si="12"/>
        <v>13044</v>
      </c>
      <c r="C47" s="11">
        <f t="shared" si="13"/>
        <v>52176</v>
      </c>
      <c r="D47" s="11">
        <v>0</v>
      </c>
      <c r="E47" s="11">
        <v>9358</v>
      </c>
      <c r="F47" s="11">
        <v>0</v>
      </c>
      <c r="G47" s="11">
        <f t="shared" si="10"/>
        <v>9358</v>
      </c>
      <c r="H47" s="11">
        <f t="shared" si="14"/>
        <v>43963</v>
      </c>
      <c r="I47" s="11">
        <f t="shared" si="11"/>
        <v>8213</v>
      </c>
      <c r="J47" s="11">
        <f>H47/4</f>
        <v>10990.75</v>
      </c>
      <c r="K47" s="19">
        <v>331</v>
      </c>
      <c r="L47" s="19">
        <v>167</v>
      </c>
      <c r="M47" s="19"/>
    </row>
    <row r="48" spans="1:13" ht="18" hidden="1">
      <c r="A48" s="7">
        <v>41214</v>
      </c>
      <c r="B48" s="15">
        <f t="shared" si="12"/>
        <v>13044</v>
      </c>
      <c r="C48" s="11">
        <f t="shared" si="13"/>
        <v>65220</v>
      </c>
      <c r="D48" s="11">
        <v>0</v>
      </c>
      <c r="E48" s="11">
        <v>4858</v>
      </c>
      <c r="F48" s="11">
        <v>0</v>
      </c>
      <c r="G48" s="11">
        <f t="shared" si="10"/>
        <v>4858</v>
      </c>
      <c r="H48" s="11">
        <f t="shared" si="14"/>
        <v>48821</v>
      </c>
      <c r="I48" s="11">
        <f t="shared" si="11"/>
        <v>16399</v>
      </c>
      <c r="J48" s="11">
        <f>H48/5</f>
        <v>9764.2</v>
      </c>
      <c r="K48" s="19">
        <v>323</v>
      </c>
      <c r="L48" s="19">
        <v>165</v>
      </c>
      <c r="M48" s="19"/>
    </row>
    <row r="49" spans="1:13" ht="18" hidden="1">
      <c r="A49" s="7">
        <v>41244</v>
      </c>
      <c r="B49" s="15">
        <f t="shared" si="12"/>
        <v>13044</v>
      </c>
      <c r="C49" s="11">
        <f t="shared" si="13"/>
        <v>78264</v>
      </c>
      <c r="D49" s="11">
        <v>0</v>
      </c>
      <c r="E49" s="11">
        <v>9679</v>
      </c>
      <c r="F49" s="11">
        <v>0</v>
      </c>
      <c r="G49" s="11">
        <f t="shared" si="10"/>
        <v>9679</v>
      </c>
      <c r="H49" s="11">
        <f t="shared" si="14"/>
        <v>58500</v>
      </c>
      <c r="I49" s="11">
        <f t="shared" si="11"/>
        <v>19764</v>
      </c>
      <c r="J49" s="11">
        <f>H49/6</f>
        <v>9750</v>
      </c>
      <c r="K49" s="19"/>
      <c r="L49" s="19"/>
      <c r="M49" s="19"/>
    </row>
    <row r="50" spans="1:13" ht="18" hidden="1">
      <c r="A50" s="7">
        <v>41275</v>
      </c>
      <c r="B50" s="15">
        <f t="shared" si="12"/>
        <v>13044</v>
      </c>
      <c r="C50" s="11">
        <f t="shared" si="13"/>
        <v>91308</v>
      </c>
      <c r="D50" s="11">
        <v>0</v>
      </c>
      <c r="E50" s="11">
        <v>3552</v>
      </c>
      <c r="F50" s="11">
        <v>0</v>
      </c>
      <c r="G50" s="11">
        <f t="shared" si="10"/>
        <v>3552</v>
      </c>
      <c r="H50" s="11">
        <f t="shared" si="14"/>
        <v>62052</v>
      </c>
      <c r="I50" s="11">
        <f t="shared" si="11"/>
        <v>29256</v>
      </c>
      <c r="J50" s="11">
        <f>H50/7</f>
        <v>8864.57142857143</v>
      </c>
      <c r="K50" s="19"/>
      <c r="L50" s="19"/>
      <c r="M50" s="19"/>
    </row>
    <row r="51" spans="1:13" ht="18" hidden="1">
      <c r="A51" s="7">
        <v>41306</v>
      </c>
      <c r="B51" s="15">
        <f t="shared" si="12"/>
        <v>13044</v>
      </c>
      <c r="C51" s="11">
        <f t="shared" si="13"/>
        <v>104352</v>
      </c>
      <c r="D51" s="11">
        <v>0</v>
      </c>
      <c r="E51" s="11">
        <v>10690</v>
      </c>
      <c r="F51" s="11">
        <v>0</v>
      </c>
      <c r="G51" s="11">
        <f t="shared" si="10"/>
        <v>10690</v>
      </c>
      <c r="H51" s="11">
        <f t="shared" si="14"/>
        <v>72742</v>
      </c>
      <c r="I51" s="11">
        <f t="shared" si="11"/>
        <v>31610</v>
      </c>
      <c r="J51" s="11">
        <f>H51/8</f>
        <v>9092.75</v>
      </c>
      <c r="K51" s="19"/>
      <c r="L51" s="19"/>
      <c r="M51" s="19"/>
    </row>
    <row r="52" spans="1:13" ht="18" hidden="1">
      <c r="A52" s="7">
        <v>41334</v>
      </c>
      <c r="B52" s="15">
        <f t="shared" si="12"/>
        <v>13044</v>
      </c>
      <c r="C52" s="11">
        <f t="shared" si="13"/>
        <v>117396</v>
      </c>
      <c r="D52" s="11">
        <v>0</v>
      </c>
      <c r="E52" s="11">
        <v>9234</v>
      </c>
      <c r="F52" s="11">
        <v>0</v>
      </c>
      <c r="G52" s="11">
        <f t="shared" si="10"/>
        <v>9234</v>
      </c>
      <c r="H52" s="11">
        <f t="shared" si="14"/>
        <v>81976</v>
      </c>
      <c r="I52" s="11">
        <f t="shared" si="11"/>
        <v>35420</v>
      </c>
      <c r="J52" s="11">
        <f>H52/9</f>
        <v>9108.444444444445</v>
      </c>
      <c r="K52" s="19"/>
      <c r="L52" s="19"/>
      <c r="M52" s="19"/>
    </row>
    <row r="53" spans="1:13" ht="18" hidden="1">
      <c r="A53" s="7">
        <v>41365</v>
      </c>
      <c r="B53" s="15">
        <f t="shared" si="12"/>
        <v>13044</v>
      </c>
      <c r="C53" s="11">
        <f t="shared" si="13"/>
        <v>130440</v>
      </c>
      <c r="D53" s="11">
        <v>0</v>
      </c>
      <c r="E53" s="11">
        <v>12538</v>
      </c>
      <c r="F53" s="11">
        <v>0</v>
      </c>
      <c r="G53" s="11">
        <f t="shared" si="10"/>
        <v>12538</v>
      </c>
      <c r="H53" s="11">
        <f t="shared" si="14"/>
        <v>94514</v>
      </c>
      <c r="I53" s="11">
        <f t="shared" si="11"/>
        <v>35926</v>
      </c>
      <c r="J53" s="11">
        <f>H53/10</f>
        <v>9451.4</v>
      </c>
      <c r="K53" s="19"/>
      <c r="L53" s="19"/>
      <c r="M53" s="19"/>
    </row>
    <row r="54" spans="1:13" ht="18" hidden="1">
      <c r="A54" s="7">
        <v>41395</v>
      </c>
      <c r="B54" s="15">
        <f t="shared" si="12"/>
        <v>13044</v>
      </c>
      <c r="C54" s="11">
        <f t="shared" si="13"/>
        <v>143484</v>
      </c>
      <c r="D54" s="11">
        <v>0</v>
      </c>
      <c r="E54" s="11">
        <v>8113</v>
      </c>
      <c r="F54" s="11">
        <v>0</v>
      </c>
      <c r="G54" s="11">
        <f t="shared" si="10"/>
        <v>8113</v>
      </c>
      <c r="H54" s="11">
        <f t="shared" si="14"/>
        <v>102627</v>
      </c>
      <c r="I54" s="11">
        <f t="shared" si="11"/>
        <v>40857</v>
      </c>
      <c r="J54" s="11">
        <f>H54/11</f>
        <v>9329.727272727272</v>
      </c>
      <c r="K54" s="19"/>
      <c r="L54" s="19"/>
      <c r="M54" s="19"/>
    </row>
    <row r="55" spans="1:13" ht="18.75" hidden="1" thickBot="1">
      <c r="A55" s="7">
        <v>41426</v>
      </c>
      <c r="B55" s="17">
        <f t="shared" si="12"/>
        <v>13044</v>
      </c>
      <c r="C55" s="12">
        <f t="shared" si="13"/>
        <v>156528</v>
      </c>
      <c r="D55" s="12">
        <v>0</v>
      </c>
      <c r="E55" s="12">
        <v>8400</v>
      </c>
      <c r="F55" s="12">
        <v>0</v>
      </c>
      <c r="G55" s="12">
        <f t="shared" si="10"/>
        <v>8400</v>
      </c>
      <c r="H55" s="12">
        <f t="shared" si="14"/>
        <v>111027</v>
      </c>
      <c r="I55" s="12">
        <f t="shared" si="11"/>
        <v>45501</v>
      </c>
      <c r="J55" s="12">
        <f>H55/12</f>
        <v>9252.25</v>
      </c>
      <c r="K55" s="18"/>
      <c r="L55" s="18"/>
      <c r="M55" s="18"/>
    </row>
    <row r="56" spans="1:13" ht="18" hidden="1">
      <c r="A56" s="7">
        <v>41457</v>
      </c>
      <c r="B56" s="15">
        <f>$B$92/24</f>
        <v>11728.041666666666</v>
      </c>
      <c r="C56" s="11">
        <f>B56</f>
        <v>11728.041666666666</v>
      </c>
      <c r="D56" s="11">
        <v>0</v>
      </c>
      <c r="E56" s="11">
        <v>32682</v>
      </c>
      <c r="F56" s="11"/>
      <c r="G56" s="11">
        <f aca="true" t="shared" si="15" ref="G56:G67">D56+E56</f>
        <v>32682</v>
      </c>
      <c r="H56" s="11">
        <f>G56</f>
        <v>32682</v>
      </c>
      <c r="I56" s="11">
        <f t="shared" si="11"/>
        <v>-20953.958333333336</v>
      </c>
      <c r="J56" s="11">
        <f>H56</f>
        <v>32682</v>
      </c>
      <c r="K56" s="19">
        <v>290</v>
      </c>
      <c r="L56" s="19">
        <v>153</v>
      </c>
      <c r="M56" s="19"/>
    </row>
    <row r="57" spans="1:13" ht="18" hidden="1">
      <c r="A57" s="7">
        <v>41488</v>
      </c>
      <c r="B57" s="15">
        <f aca="true" t="shared" si="16" ref="B57:B79">$B$92/24</f>
        <v>11728.041666666666</v>
      </c>
      <c r="C57" s="11">
        <f aca="true" t="shared" si="17" ref="C57:C79">C56+B57</f>
        <v>23456.083333333332</v>
      </c>
      <c r="D57" s="11">
        <v>0</v>
      </c>
      <c r="E57" s="11">
        <v>6856</v>
      </c>
      <c r="F57" s="11"/>
      <c r="G57" s="11">
        <f t="shared" si="15"/>
        <v>6856</v>
      </c>
      <c r="H57" s="11">
        <f aca="true" t="shared" si="18" ref="H57:H62">G57+H56</f>
        <v>39538</v>
      </c>
      <c r="I57" s="11">
        <f t="shared" si="11"/>
        <v>-16081.916666666668</v>
      </c>
      <c r="J57" s="11">
        <f>H57/2</f>
        <v>19769</v>
      </c>
      <c r="K57" s="19">
        <v>275</v>
      </c>
      <c r="L57" s="19">
        <v>161</v>
      </c>
      <c r="M57" s="19"/>
    </row>
    <row r="58" spans="1:13" ht="18" hidden="1">
      <c r="A58" s="7">
        <v>41519</v>
      </c>
      <c r="B58" s="15">
        <f t="shared" si="16"/>
        <v>11728.041666666666</v>
      </c>
      <c r="C58" s="11">
        <f t="shared" si="17"/>
        <v>35184.125</v>
      </c>
      <c r="D58" s="11">
        <v>0</v>
      </c>
      <c r="E58" s="11">
        <v>4729</v>
      </c>
      <c r="F58" s="11"/>
      <c r="G58" s="11">
        <f t="shared" si="15"/>
        <v>4729</v>
      </c>
      <c r="H58" s="11">
        <f t="shared" si="18"/>
        <v>44267</v>
      </c>
      <c r="I58" s="11">
        <f t="shared" si="11"/>
        <v>-9082.875</v>
      </c>
      <c r="J58" s="11">
        <f>H58/3</f>
        <v>14755.666666666666</v>
      </c>
      <c r="K58" s="19">
        <v>269</v>
      </c>
      <c r="L58" s="19">
        <v>233</v>
      </c>
      <c r="M58" s="19"/>
    </row>
    <row r="59" spans="1:13" ht="18" hidden="1">
      <c r="A59" s="7">
        <v>41550</v>
      </c>
      <c r="B59" s="15">
        <f t="shared" si="16"/>
        <v>11728.041666666666</v>
      </c>
      <c r="C59" s="11">
        <f t="shared" si="17"/>
        <v>46912.166666666664</v>
      </c>
      <c r="D59" s="11">
        <v>0</v>
      </c>
      <c r="E59" s="11">
        <v>3426.8</v>
      </c>
      <c r="F59" s="11"/>
      <c r="G59" s="11">
        <f t="shared" si="15"/>
        <v>3426.8</v>
      </c>
      <c r="H59" s="11">
        <f t="shared" si="18"/>
        <v>47693.8</v>
      </c>
      <c r="I59" s="11">
        <f t="shared" si="11"/>
        <v>-781.6333333333387</v>
      </c>
      <c r="J59" s="11">
        <f>H59/4</f>
        <v>11923.45</v>
      </c>
      <c r="K59" s="19">
        <v>262</v>
      </c>
      <c r="L59" s="19">
        <v>125</v>
      </c>
      <c r="M59" s="19"/>
    </row>
    <row r="60" spans="1:13" ht="18" hidden="1">
      <c r="A60" s="7">
        <v>41581</v>
      </c>
      <c r="B60" s="15">
        <f t="shared" si="16"/>
        <v>11728.041666666666</v>
      </c>
      <c r="C60" s="11">
        <f t="shared" si="17"/>
        <v>58640.20833333333</v>
      </c>
      <c r="D60" s="11">
        <v>0</v>
      </c>
      <c r="E60" s="11">
        <v>2298.69</v>
      </c>
      <c r="F60" s="11"/>
      <c r="G60" s="11">
        <f t="shared" si="15"/>
        <v>2298.69</v>
      </c>
      <c r="H60" s="11">
        <f t="shared" si="18"/>
        <v>49992.490000000005</v>
      </c>
      <c r="I60" s="11">
        <f aca="true" t="shared" si="19" ref="I60:I65">C60-H60</f>
        <v>8647.718333333323</v>
      </c>
      <c r="J60" s="11">
        <f>H60/5</f>
        <v>9998.498000000001</v>
      </c>
      <c r="K60" s="19">
        <v>285</v>
      </c>
      <c r="L60" s="19">
        <v>131</v>
      </c>
      <c r="M60" s="19"/>
    </row>
    <row r="61" spans="1:13" ht="18" hidden="1">
      <c r="A61" s="7">
        <v>41612</v>
      </c>
      <c r="B61" s="15">
        <f t="shared" si="16"/>
        <v>11728.041666666666</v>
      </c>
      <c r="C61" s="11">
        <f t="shared" si="17"/>
        <v>70368.25</v>
      </c>
      <c r="D61" s="11">
        <v>0</v>
      </c>
      <c r="E61" s="11">
        <v>5310.14</v>
      </c>
      <c r="F61" s="11"/>
      <c r="G61" s="11">
        <f t="shared" si="15"/>
        <v>5310.14</v>
      </c>
      <c r="H61" s="11">
        <f t="shared" si="18"/>
        <v>55302.630000000005</v>
      </c>
      <c r="I61" s="11">
        <f t="shared" si="19"/>
        <v>15065.619999999995</v>
      </c>
      <c r="J61" s="11">
        <f>H61/6</f>
        <v>9217.105000000001</v>
      </c>
      <c r="K61" s="19">
        <v>290</v>
      </c>
      <c r="L61" s="19">
        <v>137</v>
      </c>
      <c r="M61" s="19"/>
    </row>
    <row r="62" spans="1:13" ht="18" hidden="1">
      <c r="A62" s="7">
        <v>41643</v>
      </c>
      <c r="B62" s="15">
        <f t="shared" si="16"/>
        <v>11728.041666666666</v>
      </c>
      <c r="C62" s="11">
        <f t="shared" si="17"/>
        <v>82096.29166666667</v>
      </c>
      <c r="D62" s="11">
        <v>0</v>
      </c>
      <c r="E62" s="11">
        <v>5850.26</v>
      </c>
      <c r="F62" s="11"/>
      <c r="G62" s="11">
        <f t="shared" si="15"/>
        <v>5850.26</v>
      </c>
      <c r="H62" s="11">
        <f t="shared" si="18"/>
        <v>61152.89000000001</v>
      </c>
      <c r="I62" s="11">
        <f t="shared" si="19"/>
        <v>20943.401666666665</v>
      </c>
      <c r="J62" s="11">
        <f>H62/7</f>
        <v>8736.127142857144</v>
      </c>
      <c r="K62" s="19">
        <v>307</v>
      </c>
      <c r="L62" s="19">
        <v>136</v>
      </c>
      <c r="M62" s="19"/>
    </row>
    <row r="63" spans="1:13" ht="18" hidden="1">
      <c r="A63" s="7">
        <v>41674</v>
      </c>
      <c r="B63" s="15">
        <f t="shared" si="16"/>
        <v>11728.041666666666</v>
      </c>
      <c r="C63" s="11">
        <f t="shared" si="17"/>
        <v>93824.33333333334</v>
      </c>
      <c r="D63" s="11">
        <v>0</v>
      </c>
      <c r="E63" s="11">
        <v>6274.88</v>
      </c>
      <c r="F63" s="11"/>
      <c r="G63" s="11">
        <f t="shared" si="15"/>
        <v>6274.88</v>
      </c>
      <c r="H63" s="11">
        <f aca="true" t="shared" si="20" ref="H63:H68">G63+H62</f>
        <v>67427.77</v>
      </c>
      <c r="I63" s="11">
        <f t="shared" si="19"/>
        <v>26396.56333333334</v>
      </c>
      <c r="J63" s="11">
        <f>H63/8</f>
        <v>8428.47125</v>
      </c>
      <c r="K63" s="19">
        <v>318</v>
      </c>
      <c r="L63" s="19">
        <v>127</v>
      </c>
      <c r="M63" s="19"/>
    </row>
    <row r="64" spans="1:13" ht="18" hidden="1">
      <c r="A64" s="7">
        <v>41705</v>
      </c>
      <c r="B64" s="15">
        <f t="shared" si="16"/>
        <v>11728.041666666666</v>
      </c>
      <c r="C64" s="11">
        <f t="shared" si="17"/>
        <v>105552.37500000001</v>
      </c>
      <c r="D64" s="11">
        <v>0</v>
      </c>
      <c r="E64" s="11">
        <v>9831.52</v>
      </c>
      <c r="F64" s="11"/>
      <c r="G64" s="11">
        <f t="shared" si="15"/>
        <v>9831.52</v>
      </c>
      <c r="H64" s="11">
        <f t="shared" si="20"/>
        <v>77259.29000000001</v>
      </c>
      <c r="I64" s="11">
        <f t="shared" si="19"/>
        <v>28293.085000000006</v>
      </c>
      <c r="J64" s="11">
        <f>H64/9</f>
        <v>8584.365555555556</v>
      </c>
      <c r="K64" s="19">
        <v>317</v>
      </c>
      <c r="L64" s="19">
        <v>151</v>
      </c>
      <c r="M64" s="19"/>
    </row>
    <row r="65" spans="1:13" ht="18" hidden="1">
      <c r="A65" s="7">
        <v>41736</v>
      </c>
      <c r="B65" s="15">
        <f t="shared" si="16"/>
        <v>11728.041666666666</v>
      </c>
      <c r="C65" s="11">
        <f t="shared" si="17"/>
        <v>117280.41666666669</v>
      </c>
      <c r="D65" s="11">
        <v>0</v>
      </c>
      <c r="E65" s="11">
        <v>10896.48</v>
      </c>
      <c r="F65" s="11"/>
      <c r="G65" s="11">
        <f t="shared" si="15"/>
        <v>10896.48</v>
      </c>
      <c r="H65" s="11">
        <f t="shared" si="20"/>
        <v>88155.77</v>
      </c>
      <c r="I65" s="11">
        <f t="shared" si="19"/>
        <v>29124.646666666682</v>
      </c>
      <c r="J65" s="11">
        <f>H65/10</f>
        <v>8815.577000000001</v>
      </c>
      <c r="K65" s="19">
        <v>309</v>
      </c>
      <c r="L65" s="19">
        <v>147</v>
      </c>
      <c r="M65" s="19"/>
    </row>
    <row r="66" spans="1:13" ht="18" hidden="1">
      <c r="A66" s="7">
        <v>41767</v>
      </c>
      <c r="B66" s="15">
        <f t="shared" si="16"/>
        <v>11728.041666666666</v>
      </c>
      <c r="C66" s="11">
        <f t="shared" si="17"/>
        <v>129008.45833333336</v>
      </c>
      <c r="D66" s="11">
        <v>0</v>
      </c>
      <c r="E66" s="11">
        <v>9423.09</v>
      </c>
      <c r="F66" s="11"/>
      <c r="G66" s="11">
        <f t="shared" si="15"/>
        <v>9423.09</v>
      </c>
      <c r="H66" s="11">
        <f t="shared" si="20"/>
        <v>97578.86</v>
      </c>
      <c r="I66" s="11">
        <f aca="true" t="shared" si="21" ref="I66:I71">C66-H66</f>
        <v>31429.598333333357</v>
      </c>
      <c r="J66" s="11">
        <f>H66/11</f>
        <v>8870.805454545454</v>
      </c>
      <c r="K66" s="19">
        <v>291</v>
      </c>
      <c r="L66" s="19">
        <v>148</v>
      </c>
      <c r="M66" s="19"/>
    </row>
    <row r="67" spans="1:13" ht="18" hidden="1">
      <c r="A67" s="7">
        <v>41798</v>
      </c>
      <c r="B67" s="15">
        <f t="shared" si="16"/>
        <v>11728.041666666666</v>
      </c>
      <c r="C67" s="11">
        <f t="shared" si="17"/>
        <v>140736.50000000003</v>
      </c>
      <c r="D67" s="11">
        <v>0</v>
      </c>
      <c r="E67" s="11">
        <v>5637</v>
      </c>
      <c r="F67" s="11"/>
      <c r="G67" s="11">
        <f t="shared" si="15"/>
        <v>5637</v>
      </c>
      <c r="H67" s="11">
        <f t="shared" si="20"/>
        <v>103215.86</v>
      </c>
      <c r="I67" s="11">
        <f t="shared" si="21"/>
        <v>37520.64000000003</v>
      </c>
      <c r="J67" s="11">
        <f>H67/12</f>
        <v>8601.321666666667</v>
      </c>
      <c r="K67" s="19">
        <v>280</v>
      </c>
      <c r="L67" s="19">
        <v>126</v>
      </c>
      <c r="M67" s="19"/>
    </row>
    <row r="68" spans="1:13" ht="18">
      <c r="A68" s="7">
        <v>41828</v>
      </c>
      <c r="B68" s="15">
        <f t="shared" si="16"/>
        <v>11728.041666666666</v>
      </c>
      <c r="C68" s="11">
        <f t="shared" si="17"/>
        <v>152464.5416666667</v>
      </c>
      <c r="D68" s="11">
        <v>0</v>
      </c>
      <c r="E68" s="11">
        <v>9344</v>
      </c>
      <c r="F68" s="11"/>
      <c r="G68" s="11">
        <f aca="true" t="shared" si="22" ref="G68:G74">D68+E68</f>
        <v>9344</v>
      </c>
      <c r="H68" s="11">
        <f t="shared" si="20"/>
        <v>112559.86</v>
      </c>
      <c r="I68" s="11">
        <f t="shared" si="21"/>
        <v>39904.681666666685</v>
      </c>
      <c r="J68" s="11">
        <f>H68/13</f>
        <v>8658.450769230769</v>
      </c>
      <c r="K68" s="19">
        <v>282</v>
      </c>
      <c r="L68" s="19">
        <v>114</v>
      </c>
      <c r="M68" s="19"/>
    </row>
    <row r="69" spans="1:13" ht="18">
      <c r="A69" s="7">
        <v>41859</v>
      </c>
      <c r="B69" s="15">
        <f t="shared" si="16"/>
        <v>11728.041666666666</v>
      </c>
      <c r="C69" s="11">
        <f t="shared" si="17"/>
        <v>164192.58333333334</v>
      </c>
      <c r="D69" s="11">
        <v>0</v>
      </c>
      <c r="E69" s="11">
        <v>5601</v>
      </c>
      <c r="F69" s="11"/>
      <c r="G69" s="11">
        <f t="shared" si="22"/>
        <v>5601</v>
      </c>
      <c r="H69" s="11">
        <f aca="true" t="shared" si="23" ref="H69:H74">G69+H68</f>
        <v>118160.86</v>
      </c>
      <c r="I69" s="11">
        <f t="shared" si="21"/>
        <v>46031.72333333334</v>
      </c>
      <c r="J69" s="11">
        <f>H69/14</f>
        <v>8440.06142857143</v>
      </c>
      <c r="K69" s="19">
        <v>278</v>
      </c>
      <c r="L69" s="19">
        <v>128</v>
      </c>
      <c r="M69" s="19"/>
    </row>
    <row r="70" spans="1:13" ht="18">
      <c r="A70" s="7">
        <v>41890</v>
      </c>
      <c r="B70" s="15">
        <f t="shared" si="16"/>
        <v>11728.041666666666</v>
      </c>
      <c r="C70" s="11">
        <f t="shared" si="17"/>
        <v>175920.625</v>
      </c>
      <c r="D70" s="11">
        <v>0</v>
      </c>
      <c r="E70" s="11">
        <v>3705</v>
      </c>
      <c r="F70" s="11"/>
      <c r="G70" s="11">
        <f t="shared" si="22"/>
        <v>3705</v>
      </c>
      <c r="H70" s="11">
        <f t="shared" si="23"/>
        <v>121865.86</v>
      </c>
      <c r="I70" s="11">
        <f t="shared" si="21"/>
        <v>54054.765</v>
      </c>
      <c r="J70" s="11">
        <f>H70/15</f>
        <v>8124.390666666667</v>
      </c>
      <c r="K70" s="19">
        <v>259</v>
      </c>
      <c r="L70" s="19">
        <v>118</v>
      </c>
      <c r="M70" s="19"/>
    </row>
    <row r="71" spans="1:13" ht="18">
      <c r="A71" s="7">
        <v>41920</v>
      </c>
      <c r="B71" s="15">
        <f t="shared" si="16"/>
        <v>11728.041666666666</v>
      </c>
      <c r="C71" s="11">
        <f t="shared" si="17"/>
        <v>187648.66666666666</v>
      </c>
      <c r="D71" s="11">
        <v>0</v>
      </c>
      <c r="E71" s="11">
        <v>6443</v>
      </c>
      <c r="F71" s="11"/>
      <c r="G71" s="11">
        <f t="shared" si="22"/>
        <v>6443</v>
      </c>
      <c r="H71" s="11">
        <f t="shared" si="23"/>
        <v>128308.86</v>
      </c>
      <c r="I71" s="11">
        <f t="shared" si="21"/>
        <v>59339.80666666666</v>
      </c>
      <c r="J71" s="11">
        <f>H71/16</f>
        <v>8019.30375</v>
      </c>
      <c r="K71" s="19">
        <v>269</v>
      </c>
      <c r="L71" s="19">
        <v>118</v>
      </c>
      <c r="M71" s="19"/>
    </row>
    <row r="72" spans="1:13" ht="18">
      <c r="A72" s="7">
        <v>41951</v>
      </c>
      <c r="B72" s="15">
        <f t="shared" si="16"/>
        <v>11728.041666666666</v>
      </c>
      <c r="C72" s="11">
        <f t="shared" si="17"/>
        <v>199376.7083333333</v>
      </c>
      <c r="D72" s="11">
        <v>0</v>
      </c>
      <c r="E72" s="11">
        <v>3123</v>
      </c>
      <c r="F72" s="11"/>
      <c r="G72" s="11">
        <f t="shared" si="22"/>
        <v>3123</v>
      </c>
      <c r="H72" s="11">
        <f t="shared" si="23"/>
        <v>131431.86</v>
      </c>
      <c r="I72" s="11">
        <f>C72-H72</f>
        <v>67944.84833333333</v>
      </c>
      <c r="J72" s="11">
        <f>H72/17</f>
        <v>7731.2858823529405</v>
      </c>
      <c r="K72" s="19">
        <v>272</v>
      </c>
      <c r="L72" s="19">
        <v>137</v>
      </c>
      <c r="M72" s="19"/>
    </row>
    <row r="73" spans="1:13" ht="18">
      <c r="A73" s="7">
        <v>41981</v>
      </c>
      <c r="B73" s="15">
        <f t="shared" si="16"/>
        <v>11728.041666666666</v>
      </c>
      <c r="C73" s="11">
        <f t="shared" si="17"/>
        <v>211104.74999999997</v>
      </c>
      <c r="D73" s="11">
        <v>70</v>
      </c>
      <c r="E73" s="11">
        <v>3989</v>
      </c>
      <c r="F73" s="11"/>
      <c r="G73" s="11">
        <f t="shared" si="22"/>
        <v>4059</v>
      </c>
      <c r="H73" s="11">
        <f t="shared" si="23"/>
        <v>135490.86</v>
      </c>
      <c r="I73" s="11">
        <f>C73-H73</f>
        <v>75613.88999999998</v>
      </c>
      <c r="J73" s="11">
        <f>H73/18</f>
        <v>7527.2699999999995</v>
      </c>
      <c r="K73" s="19">
        <v>270</v>
      </c>
      <c r="L73" s="19">
        <v>136</v>
      </c>
      <c r="M73" s="19"/>
    </row>
    <row r="74" spans="1:13" ht="18">
      <c r="A74" s="7">
        <v>42012</v>
      </c>
      <c r="B74" s="15">
        <f t="shared" si="16"/>
        <v>11728.041666666666</v>
      </c>
      <c r="C74" s="11">
        <f t="shared" si="17"/>
        <v>222832.79166666663</v>
      </c>
      <c r="D74" s="11">
        <v>0</v>
      </c>
      <c r="E74" s="11">
        <v>10062</v>
      </c>
      <c r="F74" s="11"/>
      <c r="G74" s="11">
        <f t="shared" si="22"/>
        <v>10062</v>
      </c>
      <c r="H74" s="11">
        <f t="shared" si="23"/>
        <v>145552.86</v>
      </c>
      <c r="I74" s="11">
        <f>C74-H74</f>
        <v>77279.93166666664</v>
      </c>
      <c r="J74" s="11">
        <f>H74/19</f>
        <v>7660.676842105262</v>
      </c>
      <c r="K74" s="19">
        <v>277</v>
      </c>
      <c r="L74" s="19">
        <v>160</v>
      </c>
      <c r="M74" s="19"/>
    </row>
    <row r="75" spans="1:13" ht="18">
      <c r="A75" s="7">
        <v>42043</v>
      </c>
      <c r="B75" s="15">
        <f t="shared" si="16"/>
        <v>11728.041666666666</v>
      </c>
      <c r="C75" s="11">
        <f t="shared" si="17"/>
        <v>234560.83333333328</v>
      </c>
      <c r="D75" s="11"/>
      <c r="E75" s="11"/>
      <c r="F75" s="11"/>
      <c r="G75" s="11"/>
      <c r="H75" s="11"/>
      <c r="I75" s="11"/>
      <c r="J75" s="11"/>
      <c r="K75" s="19"/>
      <c r="L75" s="19"/>
      <c r="M75" s="19"/>
    </row>
    <row r="76" spans="1:13" ht="18">
      <c r="A76" s="7">
        <v>42071</v>
      </c>
      <c r="B76" s="15">
        <f t="shared" si="16"/>
        <v>11728.041666666666</v>
      </c>
      <c r="C76" s="11">
        <f t="shared" si="17"/>
        <v>246288.87499999994</v>
      </c>
      <c r="D76" s="11"/>
      <c r="E76" s="11"/>
      <c r="F76" s="11"/>
      <c r="G76" s="11"/>
      <c r="H76" s="11"/>
      <c r="I76" s="11"/>
      <c r="J76" s="11"/>
      <c r="K76" s="19"/>
      <c r="L76" s="19"/>
      <c r="M76" s="19"/>
    </row>
    <row r="77" spans="1:13" ht="18">
      <c r="A77" s="7">
        <v>42102</v>
      </c>
      <c r="B77" s="15">
        <f t="shared" si="16"/>
        <v>11728.041666666666</v>
      </c>
      <c r="C77" s="11">
        <f t="shared" si="17"/>
        <v>258016.9166666666</v>
      </c>
      <c r="D77" s="11"/>
      <c r="E77" s="11"/>
      <c r="F77" s="11"/>
      <c r="G77" s="11"/>
      <c r="H77" s="11"/>
      <c r="I77" s="11"/>
      <c r="J77" s="11"/>
      <c r="K77" s="19"/>
      <c r="L77" s="19"/>
      <c r="M77" s="19"/>
    </row>
    <row r="78" spans="1:13" ht="18">
      <c r="A78" s="7">
        <v>42132</v>
      </c>
      <c r="B78" s="15">
        <f t="shared" si="16"/>
        <v>11728.041666666666</v>
      </c>
      <c r="C78" s="11">
        <f t="shared" si="17"/>
        <v>269744.95833333326</v>
      </c>
      <c r="D78" s="11"/>
      <c r="E78" s="11"/>
      <c r="F78" s="11"/>
      <c r="G78" s="11"/>
      <c r="H78" s="11"/>
      <c r="I78" s="11"/>
      <c r="J78" s="11"/>
      <c r="K78" s="19"/>
      <c r="L78" s="19"/>
      <c r="M78" s="19"/>
    </row>
    <row r="79" spans="1:13" ht="18">
      <c r="A79" s="7">
        <v>42163</v>
      </c>
      <c r="B79" s="15">
        <f t="shared" si="16"/>
        <v>11728.041666666666</v>
      </c>
      <c r="C79" s="11">
        <f t="shared" si="17"/>
        <v>281472.99999999994</v>
      </c>
      <c r="D79" s="11"/>
      <c r="E79" s="11"/>
      <c r="F79" s="11"/>
      <c r="G79" s="11"/>
      <c r="H79" s="11"/>
      <c r="I79" s="11"/>
      <c r="J79" s="11"/>
      <c r="K79" s="19"/>
      <c r="L79" s="19"/>
      <c r="M79" s="19"/>
    </row>
    <row r="80" spans="1:13" ht="18">
      <c r="A80" s="7"/>
      <c r="B80" s="15"/>
      <c r="C80" s="11"/>
      <c r="D80" s="11"/>
      <c r="E80" s="11"/>
      <c r="F80" s="11"/>
      <c r="G80" s="11"/>
      <c r="H80" s="11"/>
      <c r="I80" s="11"/>
      <c r="J80" s="11"/>
      <c r="K80" s="19"/>
      <c r="L80" s="19"/>
      <c r="M80" s="19"/>
    </row>
    <row r="81" spans="1:13" ht="18" hidden="1">
      <c r="A81" s="7"/>
      <c r="B81" s="15"/>
      <c r="C81" s="11"/>
      <c r="D81" s="11"/>
      <c r="E81" s="11"/>
      <c r="F81" s="11"/>
      <c r="G81" s="11"/>
      <c r="H81" s="11"/>
      <c r="I81" s="11"/>
      <c r="J81" s="11"/>
      <c r="K81" s="19"/>
      <c r="L81" s="19"/>
      <c r="M81" s="19"/>
    </row>
    <row r="82" spans="1:13" ht="18" hidden="1">
      <c r="A82" s="20" t="s">
        <v>21</v>
      </c>
      <c r="B82" s="8">
        <v>419600</v>
      </c>
      <c r="C82" s="8">
        <f>SUM(B8:B19)</f>
        <v>419600.00000000006</v>
      </c>
      <c r="D82" s="8">
        <f>SUM(D8:D19)</f>
        <v>41467</v>
      </c>
      <c r="E82" s="8">
        <f>SUM(E8:E19)</f>
        <v>236329</v>
      </c>
      <c r="F82" s="8"/>
      <c r="G82" s="8">
        <f>SUM(G8:G19)</f>
        <v>277796</v>
      </c>
      <c r="H82" s="8">
        <f>G82</f>
        <v>277796</v>
      </c>
      <c r="I82" s="8">
        <f>I19</f>
        <v>141804.00000000006</v>
      </c>
      <c r="J82" s="8">
        <f>J19</f>
        <v>26504</v>
      </c>
      <c r="K82" s="9">
        <f>SUM(K8:K19)</f>
        <v>1818</v>
      </c>
      <c r="L82" s="9">
        <f>SUM(L8:L19)</f>
        <v>2581</v>
      </c>
      <c r="M82" s="9">
        <f>SUM(M8:M19)</f>
        <v>248</v>
      </c>
    </row>
    <row r="83" spans="1:13" ht="18" hidden="1">
      <c r="A83" s="20" t="s">
        <v>22</v>
      </c>
      <c r="B83" s="8">
        <v>399018</v>
      </c>
      <c r="C83" s="8">
        <f>C31</f>
        <v>399017.99999999994</v>
      </c>
      <c r="D83" s="8">
        <f>SUM(D20:D31)</f>
        <v>42122</v>
      </c>
      <c r="E83" s="8">
        <f>SUM(E20:E31)</f>
        <v>416448</v>
      </c>
      <c r="F83" s="8"/>
      <c r="G83" s="8">
        <f>SUM(G20:G31)</f>
        <v>458570</v>
      </c>
      <c r="H83" s="8">
        <f>G83</f>
        <v>458570</v>
      </c>
      <c r="I83" s="8">
        <f>I31</f>
        <v>-59552.00000000006</v>
      </c>
      <c r="J83" s="8">
        <f>AVERAGE(G20:G31)</f>
        <v>38214.166666666664</v>
      </c>
      <c r="K83" s="9">
        <f>SUM(K20:K31)</f>
        <v>2678</v>
      </c>
      <c r="L83" s="9">
        <f>SUM(L20:L31)</f>
        <v>3636</v>
      </c>
      <c r="M83" s="9">
        <f>SUM(M20:M31)</f>
        <v>737</v>
      </c>
    </row>
    <row r="84" spans="1:13" ht="18" hidden="1">
      <c r="A84" s="20" t="s">
        <v>23</v>
      </c>
      <c r="B84" s="8">
        <f>SUM(B82:B83)</f>
        <v>818618</v>
      </c>
      <c r="C84" s="8">
        <f>SUM(C82:C83)</f>
        <v>818618</v>
      </c>
      <c r="D84" s="8">
        <f>D82+D83</f>
        <v>83589</v>
      </c>
      <c r="E84" s="8">
        <f>E82+E83</f>
        <v>652777</v>
      </c>
      <c r="F84" s="8"/>
      <c r="G84" s="8">
        <f>G82+G83</f>
        <v>736366</v>
      </c>
      <c r="H84" s="8">
        <f>H82+H83</f>
        <v>736366</v>
      </c>
      <c r="I84" s="8"/>
      <c r="J84" s="8">
        <f>AVERAGE(G8:G31)</f>
        <v>30681.916666666668</v>
      </c>
      <c r="K84" s="21">
        <f>SUM(K82:K83)</f>
        <v>4496</v>
      </c>
      <c r="L84" s="21">
        <f>SUM(L82:L83)</f>
        <v>6217</v>
      </c>
      <c r="M84" s="21">
        <f>SUM(M82:M83)</f>
        <v>985</v>
      </c>
    </row>
    <row r="85" spans="1:13" ht="18" hidden="1">
      <c r="A85" s="20"/>
      <c r="B85" s="8"/>
      <c r="C85" s="8"/>
      <c r="D85" s="8"/>
      <c r="E85" s="8"/>
      <c r="F85" s="8"/>
      <c r="G85" s="8"/>
      <c r="H85" s="8"/>
      <c r="I85" s="8"/>
      <c r="J85" s="8"/>
      <c r="K85" s="21"/>
      <c r="L85" s="21"/>
      <c r="M85" s="10"/>
    </row>
    <row r="86" spans="1:13" ht="18" hidden="1">
      <c r="A86" s="20" t="s">
        <v>24</v>
      </c>
      <c r="B86" s="8">
        <v>103839</v>
      </c>
      <c r="C86" s="8">
        <f>C43</f>
        <v>103839</v>
      </c>
      <c r="D86" s="8">
        <f>SUM(D32:D43)</f>
        <v>0</v>
      </c>
      <c r="E86" s="8">
        <f>SUM(E32:E43)</f>
        <v>39609</v>
      </c>
      <c r="F86" s="8">
        <f>SUM(F32:F55)</f>
        <v>0</v>
      </c>
      <c r="G86" s="8">
        <f>SUM(G32:G43)</f>
        <v>42129</v>
      </c>
      <c r="H86" s="8">
        <f>G86</f>
        <v>42129</v>
      </c>
      <c r="I86" s="8">
        <f>I43</f>
        <v>61710</v>
      </c>
      <c r="J86" s="8">
        <f>AVERAGE(G32:G43)</f>
        <v>3510.75</v>
      </c>
      <c r="K86" s="9">
        <f>SUM(K32:K43)</f>
        <v>5274</v>
      </c>
      <c r="L86" s="9">
        <f>SUM(L32:L43)</f>
        <v>2793</v>
      </c>
      <c r="M86" s="10">
        <f>SUM(M32:M43)</f>
        <v>722</v>
      </c>
    </row>
    <row r="87" spans="1:13" ht="18" hidden="1">
      <c r="A87" s="20" t="s">
        <v>25</v>
      </c>
      <c r="B87" s="8">
        <v>156528</v>
      </c>
      <c r="C87" s="8">
        <f>SUM(B44:B55)</f>
        <v>156528</v>
      </c>
      <c r="D87" s="8">
        <f>SUM(D44:D55)</f>
        <v>0</v>
      </c>
      <c r="E87" s="8">
        <f>SUM(E44:E55)</f>
        <v>113547</v>
      </c>
      <c r="F87" s="8">
        <f>SUM(F44:F55)</f>
        <v>-2520</v>
      </c>
      <c r="G87" s="8">
        <f>SUM(G44:G55)</f>
        <v>111027</v>
      </c>
      <c r="H87" s="8">
        <f>G87</f>
        <v>111027</v>
      </c>
      <c r="I87" s="8">
        <f>I55</f>
        <v>45501</v>
      </c>
      <c r="J87" s="8">
        <f>J55</f>
        <v>9252.25</v>
      </c>
      <c r="K87" s="9">
        <f>SUM(K44:K55)</f>
        <v>1594</v>
      </c>
      <c r="L87" s="9">
        <f>SUM(L44:L55)</f>
        <v>818</v>
      </c>
      <c r="M87" s="22">
        <f>SUM(M44:M55)</f>
        <v>0</v>
      </c>
    </row>
    <row r="88" spans="1:13" ht="18" hidden="1">
      <c r="A88" s="20" t="s">
        <v>26</v>
      </c>
      <c r="B88" s="8">
        <f>B86+B87</f>
        <v>260367</v>
      </c>
      <c r="C88" s="8">
        <f aca="true" t="shared" si="24" ref="C88:M88">SUM(C86:C87)</f>
        <v>260367</v>
      </c>
      <c r="D88" s="8">
        <f t="shared" si="24"/>
        <v>0</v>
      </c>
      <c r="E88" s="8">
        <f t="shared" si="24"/>
        <v>153156</v>
      </c>
      <c r="F88" s="8">
        <f t="shared" si="24"/>
        <v>-2520</v>
      </c>
      <c r="G88" s="8">
        <f t="shared" si="24"/>
        <v>153156</v>
      </c>
      <c r="H88" s="8">
        <f t="shared" si="24"/>
        <v>153156</v>
      </c>
      <c r="I88" s="8">
        <f t="shared" si="24"/>
        <v>107211</v>
      </c>
      <c r="J88" s="8">
        <f t="shared" si="24"/>
        <v>12763</v>
      </c>
      <c r="K88" s="21">
        <f t="shared" si="24"/>
        <v>6868</v>
      </c>
      <c r="L88" s="21">
        <f t="shared" si="24"/>
        <v>3611</v>
      </c>
      <c r="M88" s="21">
        <f t="shared" si="24"/>
        <v>722</v>
      </c>
    </row>
    <row r="89" spans="1:13" ht="18" hidden="1">
      <c r="A89" s="20"/>
      <c r="B89" s="8"/>
      <c r="C89" s="8"/>
      <c r="D89" s="23"/>
      <c r="E89" s="8"/>
      <c r="F89" s="8"/>
      <c r="G89" s="8"/>
      <c r="H89" s="10"/>
      <c r="I89" s="24"/>
      <c r="J89" s="8"/>
      <c r="K89" s="21"/>
      <c r="L89" s="21"/>
      <c r="M89" s="10"/>
    </row>
    <row r="90" spans="1:13" s="56" customFormat="1" ht="18" hidden="1">
      <c r="A90" s="52" t="s">
        <v>27</v>
      </c>
      <c r="B90" s="53">
        <f>312013/2</f>
        <v>156006.5</v>
      </c>
      <c r="C90" s="53">
        <f>C67</f>
        <v>140736.50000000003</v>
      </c>
      <c r="D90" s="53">
        <f>SUM(D56:D67)</f>
        <v>0</v>
      </c>
      <c r="E90" s="53">
        <f>SUM(E56:E67)</f>
        <v>103215.86</v>
      </c>
      <c r="F90" s="53">
        <f>SUM(F56:F67)</f>
        <v>0</v>
      </c>
      <c r="G90" s="53">
        <f>SUM(G56:G67)</f>
        <v>103215.86</v>
      </c>
      <c r="H90" s="53">
        <f aca="true" t="shared" si="25" ref="H90:J91">H67</f>
        <v>103215.86</v>
      </c>
      <c r="I90" s="53">
        <f t="shared" si="25"/>
        <v>37520.64000000003</v>
      </c>
      <c r="J90" s="53">
        <f t="shared" si="25"/>
        <v>8601.321666666667</v>
      </c>
      <c r="K90" s="54">
        <f>SUM(K56:K67)</f>
        <v>3493</v>
      </c>
      <c r="L90" s="54">
        <f>SUM(L56:L67)</f>
        <v>1775</v>
      </c>
      <c r="M90" s="55"/>
    </row>
    <row r="91" spans="1:13" s="56" customFormat="1" ht="18" hidden="1">
      <c r="A91" s="52" t="s">
        <v>28</v>
      </c>
      <c r="B91" s="53">
        <f>312013/2</f>
        <v>156006.5</v>
      </c>
      <c r="C91" s="53">
        <v>156006.5</v>
      </c>
      <c r="D91" s="53">
        <f>SUM(D68:D79)</f>
        <v>70</v>
      </c>
      <c r="E91" s="53">
        <f>SUM(E68:E79)</f>
        <v>42267</v>
      </c>
      <c r="F91" s="53"/>
      <c r="G91" s="53">
        <f>SUM(G68:G79)</f>
        <v>42337</v>
      </c>
      <c r="H91" s="53">
        <f t="shared" si="25"/>
        <v>112559.86</v>
      </c>
      <c r="I91" s="53">
        <f t="shared" si="25"/>
        <v>39904.681666666685</v>
      </c>
      <c r="J91" s="53">
        <f t="shared" si="25"/>
        <v>8658.450769230769</v>
      </c>
      <c r="K91" s="54">
        <f>SUM(K68:K79)</f>
        <v>1907</v>
      </c>
      <c r="L91" s="54">
        <f>SUM(L68:L79)</f>
        <v>911</v>
      </c>
      <c r="M91" s="55"/>
    </row>
    <row r="92" spans="1:13" ht="18">
      <c r="A92" s="20" t="s">
        <v>29</v>
      </c>
      <c r="B92" s="8">
        <v>281473</v>
      </c>
      <c r="C92" s="8">
        <f>C79</f>
        <v>281472.99999999994</v>
      </c>
      <c r="D92" s="8">
        <f aca="true" t="shared" si="26" ref="D92:L92">D90+D91</f>
        <v>70</v>
      </c>
      <c r="E92" s="8">
        <f t="shared" si="26"/>
        <v>145482.86</v>
      </c>
      <c r="F92" s="8">
        <f t="shared" si="26"/>
        <v>0</v>
      </c>
      <c r="G92" s="8">
        <f t="shared" si="26"/>
        <v>145552.86</v>
      </c>
      <c r="H92" s="8">
        <f>H74</f>
        <v>145552.86</v>
      </c>
      <c r="I92" s="8">
        <f>I74</f>
        <v>77279.93166666664</v>
      </c>
      <c r="J92" s="8">
        <f>J74</f>
        <v>7660.676842105262</v>
      </c>
      <c r="K92" s="9">
        <f t="shared" si="26"/>
        <v>5400</v>
      </c>
      <c r="L92" s="9">
        <f t="shared" si="26"/>
        <v>2686</v>
      </c>
      <c r="M92" s="10"/>
    </row>
    <row r="93" spans="1:13" ht="18">
      <c r="A93" s="20"/>
      <c r="B93" s="8"/>
      <c r="C93" s="8"/>
      <c r="D93" s="23"/>
      <c r="E93" s="8"/>
      <c r="F93" s="8"/>
      <c r="G93" s="8"/>
      <c r="H93" s="10"/>
      <c r="I93" s="24"/>
      <c r="J93" s="8"/>
      <c r="K93" s="21"/>
      <c r="L93" s="21"/>
      <c r="M93" s="10"/>
    </row>
    <row r="94" spans="1:12" ht="15">
      <c r="A94" s="20" t="s">
        <v>30</v>
      </c>
      <c r="B94" s="25"/>
      <c r="C94" s="25"/>
      <c r="D94" s="26"/>
      <c r="E94" s="25"/>
      <c r="F94" s="25"/>
      <c r="G94" s="25"/>
      <c r="I94" s="20"/>
      <c r="J94" s="25"/>
      <c r="K94" s="27"/>
      <c r="L94" s="27"/>
    </row>
    <row r="95" spans="1:13" ht="18">
      <c r="A95" s="28" t="s">
        <v>31</v>
      </c>
      <c r="B95" s="8"/>
      <c r="C95" s="8"/>
      <c r="D95" s="23"/>
      <c r="E95" s="8"/>
      <c r="F95" s="8"/>
      <c r="G95" s="8"/>
      <c r="H95" s="8"/>
      <c r="I95" s="8"/>
      <c r="J95" s="8"/>
      <c r="K95" s="21"/>
      <c r="L95" s="21"/>
      <c r="M95" s="10"/>
    </row>
    <row r="96" spans="1:13" ht="18">
      <c r="A96" s="28" t="s">
        <v>32</v>
      </c>
      <c r="B96" s="8"/>
      <c r="C96" s="8"/>
      <c r="D96" s="23"/>
      <c r="E96" s="8"/>
      <c r="F96" s="8"/>
      <c r="G96" s="8"/>
      <c r="H96" s="8"/>
      <c r="I96" s="8"/>
      <c r="J96" s="8"/>
      <c r="K96" s="21"/>
      <c r="L96" s="21"/>
      <c r="M96" s="10"/>
    </row>
    <row r="97" spans="1:13" ht="18">
      <c r="A97" s="28" t="s">
        <v>33</v>
      </c>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12" ht="15">
      <c r="B99" s="25"/>
      <c r="C99" s="25"/>
      <c r="D99" s="25"/>
      <c r="E99" s="25"/>
      <c r="F99" s="25"/>
      <c r="G99" s="25"/>
      <c r="H99" s="25"/>
      <c r="I99" s="25"/>
      <c r="J99" s="25"/>
      <c r="K99" s="27"/>
      <c r="L99" s="27"/>
    </row>
    <row r="100" spans="1:10" ht="18">
      <c r="A100" s="5"/>
      <c r="B100" s="29"/>
      <c r="C100" s="30"/>
      <c r="D100" s="30"/>
      <c r="E100" s="30"/>
      <c r="F100" s="30"/>
      <c r="G100" s="30"/>
      <c r="H100" s="31"/>
      <c r="I100" s="32"/>
      <c r="J100" s="32"/>
    </row>
    <row r="101" spans="1:7" ht="15">
      <c r="A101" s="20"/>
      <c r="B101" s="29"/>
      <c r="C101" s="29"/>
      <c r="D101" s="29"/>
      <c r="E101" s="29"/>
      <c r="F101" s="29"/>
      <c r="G101" s="29"/>
    </row>
    <row r="102" spans="1:7" ht="15">
      <c r="A102" s="20"/>
      <c r="B102" s="29"/>
      <c r="C102" s="29"/>
      <c r="D102" s="29"/>
      <c r="E102" s="29"/>
      <c r="F102" s="29"/>
      <c r="G102" s="29"/>
    </row>
    <row r="103" spans="1:7" ht="15">
      <c r="A103" s="20"/>
      <c r="B103" s="29"/>
      <c r="C103" s="29"/>
      <c r="D103" s="29"/>
      <c r="E103" s="29"/>
      <c r="F103" s="29"/>
      <c r="G103" s="29"/>
    </row>
  </sheetData>
  <sheetProtection/>
  <printOptions horizontalCentered="1"/>
  <pageMargins left="0.28" right="0.22" top="0.43" bottom="0.45" header="0.5" footer="0.5"/>
  <pageSetup fitToHeight="1" fitToWidth="1" horizontalDpi="600" verticalDpi="600" orientation="landscape" scale="51" r:id="rId1"/>
  <headerFooter alignWithMargins="0">
    <oddHeader>&amp;L&amp;C&amp;R</oddHeader>
    <oddFooter>&amp;L&amp;F    &amp;A&amp;C&amp;D&amp;T&amp;R&amp;P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102"/>
  <sheetViews>
    <sheetView zoomScale="75" zoomScaleNormal="75" zoomScalePageLayoutView="0" workbookViewId="0" topLeftCell="A1">
      <pane xSplit="1" ySplit="7" topLeftCell="I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6.140625" style="4" customWidth="1"/>
    <col min="3" max="12" width="17.7109375" style="4" customWidth="1"/>
    <col min="13" max="13" width="8.8515625" style="4" hidden="1" customWidth="1"/>
  </cols>
  <sheetData>
    <row r="1" spans="1:10" ht="18">
      <c r="A1" s="1" t="s">
        <v>0</v>
      </c>
      <c r="B1" s="2"/>
      <c r="C1" s="3"/>
      <c r="D1" s="3"/>
      <c r="E1" s="3"/>
      <c r="F1" s="3"/>
      <c r="G1" s="2"/>
      <c r="H1" s="2"/>
      <c r="I1" s="2"/>
      <c r="J1" s="2"/>
    </row>
    <row r="2" spans="1:2" ht="18">
      <c r="A2" s="5" t="s">
        <v>1</v>
      </c>
      <c r="B2" s="6">
        <v>10</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27207.75</v>
      </c>
      <c r="C8" s="25">
        <f>B8</f>
        <v>27207.75</v>
      </c>
      <c r="D8" s="25">
        <v>264</v>
      </c>
      <c r="E8" s="25">
        <v>24951</v>
      </c>
      <c r="F8" s="25"/>
      <c r="G8" s="25">
        <f aca="true" t="shared" si="1" ref="G8:G31">D8+E8</f>
        <v>25215</v>
      </c>
      <c r="H8" s="25">
        <f>G8</f>
        <v>25215</v>
      </c>
      <c r="I8" s="25">
        <f aca="true" t="shared" si="2" ref="I8:I39">C8-H8</f>
        <v>1992.75</v>
      </c>
      <c r="J8" s="25">
        <f>H8</f>
        <v>25215</v>
      </c>
      <c r="K8" s="30">
        <v>207</v>
      </c>
      <c r="L8" s="30">
        <v>254</v>
      </c>
    </row>
    <row r="9" spans="1:12" ht="15" hidden="1">
      <c r="A9" s="7">
        <v>39295</v>
      </c>
      <c r="B9" s="25">
        <f t="shared" si="0"/>
        <v>27207.75</v>
      </c>
      <c r="C9" s="25">
        <f aca="true" t="shared" si="3" ref="C9:C19">C8+B9</f>
        <v>54415.5</v>
      </c>
      <c r="D9" s="25">
        <v>1563</v>
      </c>
      <c r="E9" s="25">
        <v>23898</v>
      </c>
      <c r="F9" s="25"/>
      <c r="G9" s="25">
        <f t="shared" si="1"/>
        <v>25461</v>
      </c>
      <c r="H9" s="25">
        <f aca="true" t="shared" si="4" ref="H9:H19">H8+G9</f>
        <v>50676</v>
      </c>
      <c r="I9" s="25">
        <f t="shared" si="2"/>
        <v>3739.5</v>
      </c>
      <c r="J9" s="25">
        <f>AVERAGE(G8:G9)</f>
        <v>25338</v>
      </c>
      <c r="K9" s="30">
        <v>196</v>
      </c>
      <c r="L9" s="30">
        <v>213</v>
      </c>
    </row>
    <row r="10" spans="1:12" ht="15" hidden="1">
      <c r="A10" s="7">
        <v>39326</v>
      </c>
      <c r="B10" s="25">
        <f t="shared" si="0"/>
        <v>27207.75</v>
      </c>
      <c r="C10" s="25">
        <f t="shared" si="3"/>
        <v>81623.25</v>
      </c>
      <c r="D10" s="25">
        <v>765</v>
      </c>
      <c r="E10" s="25">
        <v>20613</v>
      </c>
      <c r="F10" s="25"/>
      <c r="G10" s="25">
        <f t="shared" si="1"/>
        <v>21378</v>
      </c>
      <c r="H10" s="25">
        <f t="shared" si="4"/>
        <v>72054</v>
      </c>
      <c r="I10" s="25">
        <f t="shared" si="2"/>
        <v>9569.25</v>
      </c>
      <c r="J10" s="25">
        <f>AVERAGE(G8:G10)</f>
        <v>24018</v>
      </c>
      <c r="K10" s="30">
        <v>222</v>
      </c>
      <c r="L10" s="30">
        <v>239</v>
      </c>
    </row>
    <row r="11" spans="1:13" ht="15" hidden="1">
      <c r="A11" s="7">
        <v>39356</v>
      </c>
      <c r="B11" s="25">
        <f t="shared" si="0"/>
        <v>27207.75</v>
      </c>
      <c r="C11" s="25">
        <f t="shared" si="3"/>
        <v>108831</v>
      </c>
      <c r="D11" s="25">
        <v>2507</v>
      </c>
      <c r="E11" s="25">
        <v>14188</v>
      </c>
      <c r="F11" s="25"/>
      <c r="G11" s="25">
        <f t="shared" si="1"/>
        <v>16695</v>
      </c>
      <c r="H11" s="25">
        <f t="shared" si="4"/>
        <v>88749</v>
      </c>
      <c r="I11" s="25">
        <f t="shared" si="2"/>
        <v>20082</v>
      </c>
      <c r="J11" s="25">
        <f>AVERAGE(G8:G11)</f>
        <v>22187.25</v>
      </c>
      <c r="K11" s="30">
        <v>222</v>
      </c>
      <c r="L11" s="30">
        <v>217</v>
      </c>
      <c r="M11" s="29">
        <v>11</v>
      </c>
    </row>
    <row r="12" spans="1:13" ht="15" hidden="1">
      <c r="A12" s="7">
        <v>39387</v>
      </c>
      <c r="B12" s="25">
        <f t="shared" si="0"/>
        <v>27207.75</v>
      </c>
      <c r="C12" s="25">
        <f t="shared" si="3"/>
        <v>136038.75</v>
      </c>
      <c r="D12" s="25">
        <v>2835</v>
      </c>
      <c r="E12" s="25">
        <v>28229</v>
      </c>
      <c r="F12" s="25"/>
      <c r="G12" s="25">
        <f t="shared" si="1"/>
        <v>31064</v>
      </c>
      <c r="H12" s="25">
        <f t="shared" si="4"/>
        <v>119813</v>
      </c>
      <c r="I12" s="25">
        <f t="shared" si="2"/>
        <v>16225.75</v>
      </c>
      <c r="J12" s="25">
        <f>AVERAGE(G8:G12)</f>
        <v>23962.6</v>
      </c>
      <c r="K12" s="30">
        <v>235</v>
      </c>
      <c r="L12" s="30">
        <v>230</v>
      </c>
      <c r="M12" s="29">
        <v>25</v>
      </c>
    </row>
    <row r="13" spans="1:13" ht="15" hidden="1">
      <c r="A13" s="7">
        <v>39417</v>
      </c>
      <c r="B13" s="25">
        <f t="shared" si="0"/>
        <v>27207.75</v>
      </c>
      <c r="C13" s="25">
        <f t="shared" si="3"/>
        <v>163246.5</v>
      </c>
      <c r="D13" s="25">
        <v>1780</v>
      </c>
      <c r="E13" s="25">
        <v>30246</v>
      </c>
      <c r="F13" s="25"/>
      <c r="G13" s="25">
        <f t="shared" si="1"/>
        <v>32026</v>
      </c>
      <c r="H13" s="25">
        <f t="shared" si="4"/>
        <v>151839</v>
      </c>
      <c r="I13" s="25">
        <f t="shared" si="2"/>
        <v>11407.5</v>
      </c>
      <c r="J13" s="25">
        <f>AVERAGE(G12:G13)</f>
        <v>31545</v>
      </c>
      <c r="K13" s="30">
        <v>281</v>
      </c>
      <c r="L13" s="30">
        <v>258</v>
      </c>
      <c r="M13" s="29">
        <v>30</v>
      </c>
    </row>
    <row r="14" spans="1:13" ht="15" hidden="1">
      <c r="A14" s="7">
        <v>39448</v>
      </c>
      <c r="B14" s="25">
        <f t="shared" si="0"/>
        <v>27207.75</v>
      </c>
      <c r="C14" s="25">
        <f t="shared" si="3"/>
        <v>190454.25</v>
      </c>
      <c r="D14" s="25">
        <v>295</v>
      </c>
      <c r="E14" s="25">
        <v>32718</v>
      </c>
      <c r="F14" s="25"/>
      <c r="G14" s="25">
        <f t="shared" si="1"/>
        <v>33013</v>
      </c>
      <c r="H14" s="25">
        <f t="shared" si="4"/>
        <v>184852</v>
      </c>
      <c r="I14" s="25">
        <f t="shared" si="2"/>
        <v>5602.25</v>
      </c>
      <c r="J14" s="25">
        <f>AVERAGE(G12:G14)</f>
        <v>32034.333333333332</v>
      </c>
      <c r="K14" s="30">
        <v>278</v>
      </c>
      <c r="L14" s="30">
        <v>255</v>
      </c>
      <c r="M14" s="29">
        <v>36</v>
      </c>
    </row>
    <row r="15" spans="1:13" ht="15" hidden="1">
      <c r="A15" s="7">
        <v>39479</v>
      </c>
      <c r="B15" s="25">
        <f t="shared" si="0"/>
        <v>27207.75</v>
      </c>
      <c r="C15" s="25">
        <f t="shared" si="3"/>
        <v>217662</v>
      </c>
      <c r="D15" s="25">
        <v>1631</v>
      </c>
      <c r="E15" s="25">
        <v>28000</v>
      </c>
      <c r="F15" s="25"/>
      <c r="G15" s="25">
        <f t="shared" si="1"/>
        <v>29631</v>
      </c>
      <c r="H15" s="25">
        <f t="shared" si="4"/>
        <v>214483</v>
      </c>
      <c r="I15" s="25">
        <f t="shared" si="2"/>
        <v>3179</v>
      </c>
      <c r="J15" s="25">
        <f>AVERAGE(G12:G15)</f>
        <v>31433.5</v>
      </c>
      <c r="K15" s="30">
        <v>313</v>
      </c>
      <c r="L15" s="30">
        <v>291</v>
      </c>
      <c r="M15" s="29">
        <v>36</v>
      </c>
    </row>
    <row r="16" spans="1:13" ht="15" hidden="1">
      <c r="A16" s="7">
        <v>39508</v>
      </c>
      <c r="B16" s="25">
        <f t="shared" si="0"/>
        <v>27207.75</v>
      </c>
      <c r="C16" s="25">
        <f t="shared" si="3"/>
        <v>244869.75</v>
      </c>
      <c r="D16" s="25">
        <v>1665</v>
      </c>
      <c r="E16" s="25">
        <v>25225</v>
      </c>
      <c r="F16" s="25"/>
      <c r="G16" s="25">
        <f t="shared" si="1"/>
        <v>26890</v>
      </c>
      <c r="H16" s="25">
        <f t="shared" si="4"/>
        <v>241373</v>
      </c>
      <c r="I16" s="25">
        <f t="shared" si="2"/>
        <v>3496.75</v>
      </c>
      <c r="J16" s="25">
        <f>AVERAGE(G12:G16)</f>
        <v>30524.8</v>
      </c>
      <c r="K16" s="30">
        <v>333</v>
      </c>
      <c r="L16" s="30">
        <v>288</v>
      </c>
      <c r="M16" s="29">
        <v>43</v>
      </c>
    </row>
    <row r="17" spans="1:13" ht="15" hidden="1">
      <c r="A17" s="7">
        <v>39539</v>
      </c>
      <c r="B17" s="25">
        <f t="shared" si="0"/>
        <v>27207.75</v>
      </c>
      <c r="C17" s="25">
        <f t="shared" si="3"/>
        <v>272077.5</v>
      </c>
      <c r="D17" s="25">
        <v>1695</v>
      </c>
      <c r="E17" s="25">
        <v>35228</v>
      </c>
      <c r="F17" s="25"/>
      <c r="G17" s="25">
        <f t="shared" si="1"/>
        <v>36923</v>
      </c>
      <c r="H17" s="25">
        <f t="shared" si="4"/>
        <v>278296</v>
      </c>
      <c r="I17" s="25">
        <f t="shared" si="2"/>
        <v>-6218.5</v>
      </c>
      <c r="J17" s="25">
        <f>AVERAGE(G14:G17)</f>
        <v>31614.25</v>
      </c>
      <c r="K17" s="30">
        <v>378</v>
      </c>
      <c r="L17" s="30">
        <v>362</v>
      </c>
      <c r="M17" s="29">
        <v>61</v>
      </c>
    </row>
    <row r="18" spans="1:13" ht="15" hidden="1">
      <c r="A18" s="7">
        <v>39569</v>
      </c>
      <c r="B18" s="33">
        <f t="shared" si="0"/>
        <v>27207.75</v>
      </c>
      <c r="C18" s="33">
        <f t="shared" si="3"/>
        <v>299285.25</v>
      </c>
      <c r="D18" s="33">
        <v>1377</v>
      </c>
      <c r="E18" s="33">
        <v>44090</v>
      </c>
      <c r="F18" s="33"/>
      <c r="G18" s="25">
        <f t="shared" si="1"/>
        <v>45467</v>
      </c>
      <c r="H18" s="25">
        <f t="shared" si="4"/>
        <v>323763</v>
      </c>
      <c r="I18" s="25">
        <f t="shared" si="2"/>
        <v>-24477.75</v>
      </c>
      <c r="J18" s="25">
        <f>AVERAGE(G14:G18)</f>
        <v>34384.8</v>
      </c>
      <c r="K18" s="30">
        <v>389</v>
      </c>
      <c r="L18" s="30">
        <v>379</v>
      </c>
      <c r="M18" s="29">
        <v>67</v>
      </c>
    </row>
    <row r="19" spans="1:13" ht="15.75" hidden="1" thickBot="1">
      <c r="A19" s="7">
        <v>39600</v>
      </c>
      <c r="B19" s="34">
        <f t="shared" si="0"/>
        <v>27207.75</v>
      </c>
      <c r="C19" s="34">
        <f t="shared" si="3"/>
        <v>326493</v>
      </c>
      <c r="D19" s="34">
        <v>2726</v>
      </c>
      <c r="E19" s="34">
        <v>43665</v>
      </c>
      <c r="F19" s="34"/>
      <c r="G19" s="34">
        <f t="shared" si="1"/>
        <v>46391</v>
      </c>
      <c r="H19" s="34">
        <f t="shared" si="4"/>
        <v>370154</v>
      </c>
      <c r="I19" s="34">
        <f t="shared" si="2"/>
        <v>-43661</v>
      </c>
      <c r="J19" s="34">
        <f>AVERAGE(G15:G19)</f>
        <v>37060.4</v>
      </c>
      <c r="K19" s="35">
        <v>403</v>
      </c>
      <c r="L19" s="35">
        <v>371</v>
      </c>
      <c r="M19" s="36">
        <v>75</v>
      </c>
    </row>
    <row r="20" spans="1:13" ht="15" hidden="1">
      <c r="A20" s="7">
        <v>39630</v>
      </c>
      <c r="B20" s="37">
        <v>49369</v>
      </c>
      <c r="C20" s="33">
        <f>B20</f>
        <v>49369</v>
      </c>
      <c r="D20" s="33">
        <v>2527</v>
      </c>
      <c r="E20" s="33">
        <v>46636</v>
      </c>
      <c r="F20" s="33"/>
      <c r="G20" s="33">
        <f t="shared" si="1"/>
        <v>49163</v>
      </c>
      <c r="H20" s="33">
        <f>G20</f>
        <v>49163</v>
      </c>
      <c r="I20" s="33">
        <f t="shared" si="2"/>
        <v>206</v>
      </c>
      <c r="J20" s="33">
        <f>H20</f>
        <v>49163</v>
      </c>
      <c r="K20" s="30">
        <v>389</v>
      </c>
      <c r="L20" s="30">
        <v>378</v>
      </c>
      <c r="M20" s="29">
        <v>89</v>
      </c>
    </row>
    <row r="21" spans="1:13" ht="15" hidden="1">
      <c r="A21" s="7">
        <v>39661</v>
      </c>
      <c r="B21" s="37">
        <v>49369</v>
      </c>
      <c r="C21" s="33">
        <f aca="true" t="shared" si="5" ref="C21:C31">C20+B21</f>
        <v>98738</v>
      </c>
      <c r="D21" s="33">
        <v>1392</v>
      </c>
      <c r="E21" s="33">
        <v>36479</v>
      </c>
      <c r="F21" s="33"/>
      <c r="G21" s="33">
        <f t="shared" si="1"/>
        <v>37871</v>
      </c>
      <c r="H21" s="33">
        <f aca="true" t="shared" si="6" ref="H21:H31">H20+G21</f>
        <v>87034</v>
      </c>
      <c r="I21" s="33">
        <f t="shared" si="2"/>
        <v>11704</v>
      </c>
      <c r="J21" s="33">
        <f>H21/2</f>
        <v>43517</v>
      </c>
      <c r="K21" s="30">
        <v>403</v>
      </c>
      <c r="L21" s="30">
        <v>378</v>
      </c>
      <c r="M21" s="29">
        <v>99</v>
      </c>
    </row>
    <row r="22" spans="1:13" ht="15" hidden="1">
      <c r="A22" s="7">
        <v>39692</v>
      </c>
      <c r="B22" s="37">
        <v>49369</v>
      </c>
      <c r="C22" s="33">
        <f t="shared" si="5"/>
        <v>148107</v>
      </c>
      <c r="D22" s="33">
        <v>525</v>
      </c>
      <c r="E22" s="33">
        <v>36093</v>
      </c>
      <c r="F22" s="33"/>
      <c r="G22" s="33">
        <f t="shared" si="1"/>
        <v>36618</v>
      </c>
      <c r="H22" s="33">
        <f t="shared" si="6"/>
        <v>123652</v>
      </c>
      <c r="I22" s="33">
        <f t="shared" si="2"/>
        <v>24455</v>
      </c>
      <c r="J22" s="33">
        <f>H22/3</f>
        <v>41217.333333333336</v>
      </c>
      <c r="K22" s="30">
        <v>431</v>
      </c>
      <c r="L22" s="30">
        <v>364</v>
      </c>
      <c r="M22" s="29">
        <v>113</v>
      </c>
    </row>
    <row r="23" spans="1:13" ht="15" hidden="1">
      <c r="A23" s="7">
        <v>39722</v>
      </c>
      <c r="B23" s="37">
        <v>49369</v>
      </c>
      <c r="C23" s="33">
        <f t="shared" si="5"/>
        <v>197476</v>
      </c>
      <c r="D23" s="33">
        <v>2478</v>
      </c>
      <c r="E23" s="33">
        <v>32118</v>
      </c>
      <c r="F23" s="33"/>
      <c r="G23" s="33">
        <f t="shared" si="1"/>
        <v>34596</v>
      </c>
      <c r="H23" s="33">
        <f t="shared" si="6"/>
        <v>158248</v>
      </c>
      <c r="I23" s="33">
        <f t="shared" si="2"/>
        <v>39228</v>
      </c>
      <c r="J23" s="33">
        <f>H23/4</f>
        <v>39562</v>
      </c>
      <c r="K23" s="30">
        <v>442</v>
      </c>
      <c r="L23" s="30">
        <v>358</v>
      </c>
      <c r="M23" s="29">
        <v>102</v>
      </c>
    </row>
    <row r="24" spans="1:13" ht="15" hidden="1">
      <c r="A24" s="7">
        <v>39753</v>
      </c>
      <c r="B24" s="37">
        <v>49369</v>
      </c>
      <c r="C24" s="33">
        <f t="shared" si="5"/>
        <v>246845</v>
      </c>
      <c r="D24" s="33">
        <v>3721</v>
      </c>
      <c r="E24" s="33">
        <v>35151</v>
      </c>
      <c r="F24" s="33"/>
      <c r="G24" s="33">
        <f t="shared" si="1"/>
        <v>38872</v>
      </c>
      <c r="H24" s="33">
        <f t="shared" si="6"/>
        <v>197120</v>
      </c>
      <c r="I24" s="33">
        <f t="shared" si="2"/>
        <v>49725</v>
      </c>
      <c r="J24" s="33">
        <f>H24/5</f>
        <v>39424</v>
      </c>
      <c r="K24" s="30">
        <v>450</v>
      </c>
      <c r="L24" s="30">
        <v>378</v>
      </c>
      <c r="M24" s="29">
        <v>110</v>
      </c>
    </row>
    <row r="25" spans="1:13" ht="15" hidden="1">
      <c r="A25" s="7">
        <v>39783</v>
      </c>
      <c r="B25" s="38">
        <v>55863.857142857145</v>
      </c>
      <c r="C25" s="33">
        <f t="shared" si="5"/>
        <v>302708.85714285716</v>
      </c>
      <c r="D25" s="33">
        <v>4354</v>
      </c>
      <c r="E25" s="33">
        <v>45489</v>
      </c>
      <c r="F25" s="33"/>
      <c r="G25" s="33">
        <f t="shared" si="1"/>
        <v>49843</v>
      </c>
      <c r="H25" s="33">
        <f t="shared" si="6"/>
        <v>246963</v>
      </c>
      <c r="I25" s="33">
        <f t="shared" si="2"/>
        <v>55745.85714285716</v>
      </c>
      <c r="J25" s="33">
        <f>H25/6</f>
        <v>41160.5</v>
      </c>
      <c r="K25" s="30">
        <v>475</v>
      </c>
      <c r="L25" s="30">
        <v>351</v>
      </c>
      <c r="M25" s="29">
        <v>102</v>
      </c>
    </row>
    <row r="26" spans="1:13" ht="15" hidden="1">
      <c r="A26" s="7">
        <v>39814</v>
      </c>
      <c r="B26" s="38">
        <v>55863.857142857145</v>
      </c>
      <c r="C26" s="33">
        <f t="shared" si="5"/>
        <v>358572.7142857143</v>
      </c>
      <c r="D26" s="33">
        <v>1865</v>
      </c>
      <c r="E26" s="33">
        <v>32107</v>
      </c>
      <c r="F26" s="33"/>
      <c r="G26" s="33">
        <f t="shared" si="1"/>
        <v>33972</v>
      </c>
      <c r="H26" s="33">
        <f t="shared" si="6"/>
        <v>280935</v>
      </c>
      <c r="I26" s="33">
        <f t="shared" si="2"/>
        <v>77637.71428571432</v>
      </c>
      <c r="J26" s="33">
        <f>H26/7</f>
        <v>40133.57142857143</v>
      </c>
      <c r="K26" s="30">
        <v>505</v>
      </c>
      <c r="L26" s="30">
        <v>397</v>
      </c>
      <c r="M26" s="29">
        <v>95</v>
      </c>
    </row>
    <row r="27" spans="1:13" ht="15" hidden="1">
      <c r="A27" s="7">
        <v>39845</v>
      </c>
      <c r="B27" s="38">
        <v>55863.857142857145</v>
      </c>
      <c r="C27" s="33">
        <f t="shared" si="5"/>
        <v>414436.5714285715</v>
      </c>
      <c r="D27" s="33">
        <v>2592</v>
      </c>
      <c r="E27" s="33">
        <v>25472</v>
      </c>
      <c r="F27" s="33"/>
      <c r="G27" s="33">
        <f t="shared" si="1"/>
        <v>28064</v>
      </c>
      <c r="H27" s="33">
        <f t="shared" si="6"/>
        <v>308999</v>
      </c>
      <c r="I27" s="33">
        <f t="shared" si="2"/>
        <v>105437.57142857148</v>
      </c>
      <c r="J27" s="33">
        <f>H27/8</f>
        <v>38624.875</v>
      </c>
      <c r="K27" s="30">
        <v>549</v>
      </c>
      <c r="L27" s="30">
        <v>404</v>
      </c>
      <c r="M27" s="29">
        <v>84</v>
      </c>
    </row>
    <row r="28" spans="1:13" ht="15" hidden="1">
      <c r="A28" s="7">
        <v>39873</v>
      </c>
      <c r="B28" s="38">
        <v>55863.857142857145</v>
      </c>
      <c r="C28" s="33">
        <f t="shared" si="5"/>
        <v>470300.42857142864</v>
      </c>
      <c r="D28" s="33">
        <v>840</v>
      </c>
      <c r="E28" s="33">
        <v>45072</v>
      </c>
      <c r="F28" s="33"/>
      <c r="G28" s="33">
        <f t="shared" si="1"/>
        <v>45912</v>
      </c>
      <c r="H28" s="33">
        <f t="shared" si="6"/>
        <v>354911</v>
      </c>
      <c r="I28" s="33">
        <f t="shared" si="2"/>
        <v>115389.42857142864</v>
      </c>
      <c r="J28" s="33">
        <f>H28/9</f>
        <v>39434.555555555555</v>
      </c>
      <c r="K28" s="30">
        <v>585</v>
      </c>
      <c r="L28" s="30">
        <v>447</v>
      </c>
      <c r="M28" s="4">
        <v>85</v>
      </c>
    </row>
    <row r="29" spans="1:13" ht="15" hidden="1">
      <c r="A29" s="7">
        <v>39904</v>
      </c>
      <c r="B29" s="38">
        <v>55863.857142857145</v>
      </c>
      <c r="C29" s="33">
        <f t="shared" si="5"/>
        <v>526164.2857142858</v>
      </c>
      <c r="D29" s="33">
        <v>1395</v>
      </c>
      <c r="E29" s="33">
        <v>47960</v>
      </c>
      <c r="F29" s="33"/>
      <c r="G29" s="33">
        <f t="shared" si="1"/>
        <v>49355</v>
      </c>
      <c r="H29" s="33">
        <f t="shared" si="6"/>
        <v>404266</v>
      </c>
      <c r="I29" s="33">
        <f t="shared" si="2"/>
        <v>121898.2857142858</v>
      </c>
      <c r="J29" s="33">
        <f>H29/10</f>
        <v>40426.6</v>
      </c>
      <c r="K29" s="30">
        <v>636</v>
      </c>
      <c r="L29" s="30">
        <v>462</v>
      </c>
      <c r="M29" s="4">
        <v>78</v>
      </c>
    </row>
    <row r="30" spans="1:13" ht="15" hidden="1">
      <c r="A30" s="7">
        <v>39934</v>
      </c>
      <c r="B30" s="38">
        <v>55863.857142857145</v>
      </c>
      <c r="C30" s="33">
        <f t="shared" si="5"/>
        <v>582028.142857143</v>
      </c>
      <c r="D30" s="33">
        <v>420</v>
      </c>
      <c r="E30" s="33">
        <v>48008</v>
      </c>
      <c r="F30" s="33"/>
      <c r="G30" s="33">
        <f t="shared" si="1"/>
        <v>48428</v>
      </c>
      <c r="H30" s="33">
        <f t="shared" si="6"/>
        <v>452694</v>
      </c>
      <c r="I30" s="33">
        <f t="shared" si="2"/>
        <v>129334.14285714296</v>
      </c>
      <c r="J30" s="33">
        <f>H30/11</f>
        <v>41154</v>
      </c>
      <c r="K30" s="30">
        <v>656</v>
      </c>
      <c r="L30" s="30">
        <v>446</v>
      </c>
      <c r="M30" s="4">
        <v>78</v>
      </c>
    </row>
    <row r="31" spans="1:13" ht="15.75" hidden="1" thickBot="1">
      <c r="A31" s="7">
        <v>39965</v>
      </c>
      <c r="B31" s="39">
        <v>55863.857142857145</v>
      </c>
      <c r="C31" s="34">
        <f t="shared" si="5"/>
        <v>637892.0000000001</v>
      </c>
      <c r="D31" s="34">
        <v>135</v>
      </c>
      <c r="E31" s="34">
        <v>37400</v>
      </c>
      <c r="F31" s="34"/>
      <c r="G31" s="34">
        <f t="shared" si="1"/>
        <v>37535</v>
      </c>
      <c r="H31" s="34">
        <f t="shared" si="6"/>
        <v>490229</v>
      </c>
      <c r="I31" s="34">
        <f t="shared" si="2"/>
        <v>147663.00000000012</v>
      </c>
      <c r="J31" s="34">
        <f>H31/12</f>
        <v>40852.416666666664</v>
      </c>
      <c r="K31" s="40">
        <v>657</v>
      </c>
      <c r="L31" s="40">
        <v>419</v>
      </c>
      <c r="M31" s="41">
        <v>81</v>
      </c>
    </row>
    <row r="32" spans="1:13" ht="18" hidden="1">
      <c r="A32" s="7">
        <v>40725</v>
      </c>
      <c r="B32" s="37">
        <f aca="true" t="shared" si="7" ref="B32:B43">$B$85/12</f>
        <v>19734.583333333332</v>
      </c>
      <c r="C32" s="33">
        <f>B32</f>
        <v>19734.583333333332</v>
      </c>
      <c r="D32" s="33">
        <v>0</v>
      </c>
      <c r="E32" s="33">
        <f>5458-F32</f>
        <v>5308</v>
      </c>
      <c r="F32" s="33">
        <v>150</v>
      </c>
      <c r="G32" s="33">
        <f>D32+E32+F32</f>
        <v>5458</v>
      </c>
      <c r="H32" s="33">
        <f>G32</f>
        <v>5458</v>
      </c>
      <c r="I32" s="33">
        <f t="shared" si="2"/>
        <v>14276.583333333332</v>
      </c>
      <c r="J32" s="11">
        <f>H32</f>
        <v>5458</v>
      </c>
      <c r="K32" s="42">
        <v>1043</v>
      </c>
      <c r="L32" s="42">
        <v>273</v>
      </c>
      <c r="M32" s="43">
        <v>77</v>
      </c>
    </row>
    <row r="33" spans="1:13" ht="18" hidden="1">
      <c r="A33" s="7">
        <v>40756</v>
      </c>
      <c r="B33" s="37">
        <f t="shared" si="7"/>
        <v>19734.583333333332</v>
      </c>
      <c r="C33" s="33">
        <f aca="true" t="shared" si="8" ref="C33:C43">C32+B33</f>
        <v>39469.166666666664</v>
      </c>
      <c r="D33" s="33">
        <v>50</v>
      </c>
      <c r="E33" s="33">
        <f>-191+1607+726+52-F33</f>
        <v>2221</v>
      </c>
      <c r="F33" s="33">
        <v>-27</v>
      </c>
      <c r="G33" s="33">
        <f>D33+E33</f>
        <v>2271</v>
      </c>
      <c r="H33" s="33">
        <f aca="true" t="shared" si="9" ref="H33:H43">H32+G33</f>
        <v>7729</v>
      </c>
      <c r="I33" s="33">
        <f t="shared" si="2"/>
        <v>31740.166666666664</v>
      </c>
      <c r="J33" s="11">
        <f>H33/2</f>
        <v>3864.5</v>
      </c>
      <c r="K33" s="42">
        <v>914</v>
      </c>
      <c r="L33" s="42">
        <v>399</v>
      </c>
      <c r="M33" s="43">
        <v>84</v>
      </c>
    </row>
    <row r="34" spans="1:13" ht="18" hidden="1">
      <c r="A34" s="7">
        <v>40787</v>
      </c>
      <c r="B34" s="37">
        <f t="shared" si="7"/>
        <v>19734.583333333332</v>
      </c>
      <c r="C34" s="33">
        <f t="shared" si="8"/>
        <v>59203.75</v>
      </c>
      <c r="D34" s="33">
        <v>0</v>
      </c>
      <c r="E34" s="33">
        <v>1823</v>
      </c>
      <c r="F34" s="33">
        <v>0</v>
      </c>
      <c r="G34" s="33">
        <f aca="true" t="shared" si="10" ref="G34:G74">D34+E34+F34</f>
        <v>1823</v>
      </c>
      <c r="H34" s="33">
        <f t="shared" si="9"/>
        <v>9552</v>
      </c>
      <c r="I34" s="33">
        <f t="shared" si="2"/>
        <v>49651.75</v>
      </c>
      <c r="J34" s="11">
        <f>H34/3</f>
        <v>3184</v>
      </c>
      <c r="K34" s="42">
        <v>1015</v>
      </c>
      <c r="L34" s="42">
        <v>439</v>
      </c>
      <c r="M34" s="43">
        <v>82</v>
      </c>
    </row>
    <row r="35" spans="1:13" ht="18" hidden="1">
      <c r="A35" s="7">
        <v>40817</v>
      </c>
      <c r="B35" s="37">
        <f t="shared" si="7"/>
        <v>19734.583333333332</v>
      </c>
      <c r="C35" s="33">
        <f t="shared" si="8"/>
        <v>78938.33333333333</v>
      </c>
      <c r="D35" s="33">
        <v>0</v>
      </c>
      <c r="E35" s="33">
        <v>1125</v>
      </c>
      <c r="F35" s="33">
        <v>0</v>
      </c>
      <c r="G35" s="33">
        <f t="shared" si="10"/>
        <v>1125</v>
      </c>
      <c r="H35" s="33">
        <f t="shared" si="9"/>
        <v>10677</v>
      </c>
      <c r="I35" s="33">
        <f t="shared" si="2"/>
        <v>68261.33333333333</v>
      </c>
      <c r="J35" s="11">
        <f>H35/4</f>
        <v>2669.25</v>
      </c>
      <c r="K35" s="42">
        <v>1151</v>
      </c>
      <c r="L35" s="42">
        <v>520</v>
      </c>
      <c r="M35" s="43">
        <v>74</v>
      </c>
    </row>
    <row r="36" spans="1:13" ht="18" hidden="1">
      <c r="A36" s="7">
        <v>40848</v>
      </c>
      <c r="B36" s="37">
        <f t="shared" si="7"/>
        <v>19734.583333333332</v>
      </c>
      <c r="C36" s="33">
        <f t="shared" si="8"/>
        <v>98672.91666666666</v>
      </c>
      <c r="D36" s="33">
        <v>0</v>
      </c>
      <c r="E36" s="33">
        <v>1719</v>
      </c>
      <c r="F36" s="33">
        <v>0</v>
      </c>
      <c r="G36" s="33">
        <f t="shared" si="10"/>
        <v>1719</v>
      </c>
      <c r="H36" s="33">
        <f t="shared" si="9"/>
        <v>12396</v>
      </c>
      <c r="I36" s="33">
        <f t="shared" si="2"/>
        <v>86276.91666666666</v>
      </c>
      <c r="J36" s="11">
        <f>H36/5</f>
        <v>2479.2</v>
      </c>
      <c r="K36" s="42">
        <v>1175</v>
      </c>
      <c r="L36" s="42">
        <v>554</v>
      </c>
      <c r="M36" s="43">
        <v>80</v>
      </c>
    </row>
    <row r="37" spans="1:13" ht="18" hidden="1">
      <c r="A37" s="7">
        <v>40878</v>
      </c>
      <c r="B37" s="37">
        <f t="shared" si="7"/>
        <v>19734.583333333332</v>
      </c>
      <c r="C37" s="33">
        <f t="shared" si="8"/>
        <v>118407.49999999999</v>
      </c>
      <c r="D37" s="33">
        <v>0</v>
      </c>
      <c r="E37" s="33">
        <v>810</v>
      </c>
      <c r="F37" s="33">
        <v>0</v>
      </c>
      <c r="G37" s="33">
        <f t="shared" si="10"/>
        <v>810</v>
      </c>
      <c r="H37" s="33">
        <f t="shared" si="9"/>
        <v>13206</v>
      </c>
      <c r="I37" s="33">
        <f t="shared" si="2"/>
        <v>105201.49999999999</v>
      </c>
      <c r="J37" s="11">
        <f>H37/6</f>
        <v>2201</v>
      </c>
      <c r="K37" s="42">
        <v>1215</v>
      </c>
      <c r="L37" s="42">
        <v>655</v>
      </c>
      <c r="M37" s="43">
        <v>80</v>
      </c>
    </row>
    <row r="38" spans="1:13" ht="18" hidden="1">
      <c r="A38" s="7">
        <v>40909</v>
      </c>
      <c r="B38" s="37">
        <f t="shared" si="7"/>
        <v>19734.583333333332</v>
      </c>
      <c r="C38" s="33">
        <f t="shared" si="8"/>
        <v>138142.0833333333</v>
      </c>
      <c r="D38" s="33">
        <v>0</v>
      </c>
      <c r="E38" s="33">
        <v>2540</v>
      </c>
      <c r="F38" s="33">
        <v>0</v>
      </c>
      <c r="G38" s="33">
        <f t="shared" si="10"/>
        <v>2540</v>
      </c>
      <c r="H38" s="33">
        <f t="shared" si="9"/>
        <v>15746</v>
      </c>
      <c r="I38" s="33">
        <f t="shared" si="2"/>
        <v>122396.08333333331</v>
      </c>
      <c r="J38" s="11">
        <f>H38/7</f>
        <v>2249.4285714285716</v>
      </c>
      <c r="K38" s="42">
        <v>1418</v>
      </c>
      <c r="L38" s="42">
        <v>704</v>
      </c>
      <c r="M38" s="43">
        <v>83</v>
      </c>
    </row>
    <row r="39" spans="1:13" ht="18" hidden="1">
      <c r="A39" s="7">
        <v>40940</v>
      </c>
      <c r="B39" s="37">
        <f t="shared" si="7"/>
        <v>19734.583333333332</v>
      </c>
      <c r="C39" s="33">
        <f t="shared" si="8"/>
        <v>157876.66666666666</v>
      </c>
      <c r="D39" s="33">
        <v>0</v>
      </c>
      <c r="E39" s="33">
        <v>186</v>
      </c>
      <c r="F39" s="33">
        <v>0</v>
      </c>
      <c r="G39" s="33">
        <f t="shared" si="10"/>
        <v>186</v>
      </c>
      <c r="H39" s="33">
        <f t="shared" si="9"/>
        <v>15932</v>
      </c>
      <c r="I39" s="33">
        <f t="shared" si="2"/>
        <v>141944.66666666666</v>
      </c>
      <c r="J39" s="11">
        <f>H39/8</f>
        <v>1991.5</v>
      </c>
      <c r="K39" s="42">
        <v>1449</v>
      </c>
      <c r="L39" s="42">
        <v>849</v>
      </c>
      <c r="M39" s="43">
        <v>79</v>
      </c>
    </row>
    <row r="40" spans="1:13" ht="18" hidden="1">
      <c r="A40" s="7">
        <v>40969</v>
      </c>
      <c r="B40" s="37">
        <f t="shared" si="7"/>
        <v>19734.583333333332</v>
      </c>
      <c r="C40" s="33">
        <f t="shared" si="8"/>
        <v>177611.25</v>
      </c>
      <c r="D40" s="33">
        <v>0</v>
      </c>
      <c r="E40" s="33">
        <v>4109</v>
      </c>
      <c r="F40" s="33">
        <v>0</v>
      </c>
      <c r="G40" s="33">
        <f t="shared" si="10"/>
        <v>4109</v>
      </c>
      <c r="H40" s="33">
        <f t="shared" si="9"/>
        <v>20041</v>
      </c>
      <c r="I40" s="33">
        <f aca="true" t="shared" si="11" ref="I40:I59">C40-H40</f>
        <v>157570.25</v>
      </c>
      <c r="J40" s="11">
        <f>H40/9</f>
        <v>2226.777777777778</v>
      </c>
      <c r="K40" s="42">
        <v>1481</v>
      </c>
      <c r="L40" s="42">
        <v>883</v>
      </c>
      <c r="M40" s="43">
        <v>84</v>
      </c>
    </row>
    <row r="41" spans="1:13" ht="18" hidden="1">
      <c r="A41" s="7">
        <v>41000</v>
      </c>
      <c r="B41" s="37">
        <f t="shared" si="7"/>
        <v>19734.583333333332</v>
      </c>
      <c r="C41" s="33">
        <f t="shared" si="8"/>
        <v>197345.83333333334</v>
      </c>
      <c r="D41" s="33">
        <v>0</v>
      </c>
      <c r="E41" s="33">
        <v>3973</v>
      </c>
      <c r="F41" s="33">
        <v>0</v>
      </c>
      <c r="G41" s="33">
        <f t="shared" si="10"/>
        <v>3973</v>
      </c>
      <c r="H41" s="33">
        <f t="shared" si="9"/>
        <v>24014</v>
      </c>
      <c r="I41" s="33">
        <f t="shared" si="11"/>
        <v>173331.83333333334</v>
      </c>
      <c r="J41" s="11">
        <f>H41/10</f>
        <v>2401.4</v>
      </c>
      <c r="K41" s="42">
        <v>1611</v>
      </c>
      <c r="L41" s="42">
        <v>864</v>
      </c>
      <c r="M41" s="43">
        <v>81</v>
      </c>
    </row>
    <row r="42" spans="1:13" ht="18" hidden="1">
      <c r="A42" s="7">
        <v>41030</v>
      </c>
      <c r="B42" s="37">
        <f t="shared" si="7"/>
        <v>19734.583333333332</v>
      </c>
      <c r="C42" s="33">
        <f t="shared" si="8"/>
        <v>217080.4166666667</v>
      </c>
      <c r="D42" s="33">
        <v>0</v>
      </c>
      <c r="E42" s="33">
        <v>5714</v>
      </c>
      <c r="F42" s="33">
        <v>0</v>
      </c>
      <c r="G42" s="33">
        <f t="shared" si="10"/>
        <v>5714</v>
      </c>
      <c r="H42" s="33">
        <f t="shared" si="9"/>
        <v>29728</v>
      </c>
      <c r="I42" s="33">
        <f t="shared" si="11"/>
        <v>187352.4166666667</v>
      </c>
      <c r="J42" s="11">
        <f>H42/11</f>
        <v>2702.5454545454545</v>
      </c>
      <c r="K42" s="42">
        <v>1484</v>
      </c>
      <c r="L42" s="42">
        <v>859</v>
      </c>
      <c r="M42" s="43">
        <v>0</v>
      </c>
    </row>
    <row r="43" spans="1:13" ht="18.75" hidden="1" thickBot="1">
      <c r="A43" s="7">
        <v>41061</v>
      </c>
      <c r="B43" s="39">
        <f t="shared" si="7"/>
        <v>19734.583333333332</v>
      </c>
      <c r="C43" s="34">
        <f t="shared" si="8"/>
        <v>236815.00000000003</v>
      </c>
      <c r="D43" s="34">
        <v>0</v>
      </c>
      <c r="E43" s="34">
        <v>5973</v>
      </c>
      <c r="F43" s="34">
        <v>0</v>
      </c>
      <c r="G43" s="34">
        <f t="shared" si="10"/>
        <v>5973</v>
      </c>
      <c r="H43" s="34">
        <f t="shared" si="9"/>
        <v>35701</v>
      </c>
      <c r="I43" s="34">
        <f t="shared" si="11"/>
        <v>201114.00000000003</v>
      </c>
      <c r="J43" s="12">
        <f>H43/12</f>
        <v>2975.0833333333335</v>
      </c>
      <c r="K43" s="40">
        <v>1497</v>
      </c>
      <c r="L43" s="40">
        <v>903</v>
      </c>
      <c r="M43" s="41">
        <v>0</v>
      </c>
    </row>
    <row r="44" spans="1:13" ht="15" hidden="1">
      <c r="A44" s="7">
        <v>41091</v>
      </c>
      <c r="B44" s="37">
        <f aca="true" t="shared" si="12" ref="B44:B55">$B$86/12</f>
        <v>42500</v>
      </c>
      <c r="C44" s="33">
        <f>B44</f>
        <v>42500</v>
      </c>
      <c r="D44" s="33">
        <v>0</v>
      </c>
      <c r="E44" s="33">
        <v>7796</v>
      </c>
      <c r="F44" s="33">
        <v>0</v>
      </c>
      <c r="G44" s="33">
        <f t="shared" si="10"/>
        <v>7796</v>
      </c>
      <c r="H44" s="33">
        <f>G44</f>
        <v>7796</v>
      </c>
      <c r="I44" s="33">
        <f t="shared" si="11"/>
        <v>34704</v>
      </c>
      <c r="J44" s="33">
        <f>H44/1</f>
        <v>7796</v>
      </c>
      <c r="K44" s="42">
        <v>1458</v>
      </c>
      <c r="L44" s="42">
        <v>865</v>
      </c>
      <c r="M44" s="43"/>
    </row>
    <row r="45" spans="1:13" ht="15" hidden="1">
      <c r="A45" s="7">
        <v>41122</v>
      </c>
      <c r="B45" s="37">
        <f t="shared" si="12"/>
        <v>42500</v>
      </c>
      <c r="C45" s="33">
        <f aca="true" t="shared" si="13" ref="C45:C55">C44+B45</f>
        <v>85000</v>
      </c>
      <c r="D45" s="33">
        <v>0</v>
      </c>
      <c r="E45" s="33">
        <v>6635</v>
      </c>
      <c r="F45" s="33">
        <v>0</v>
      </c>
      <c r="G45" s="33">
        <f t="shared" si="10"/>
        <v>6635</v>
      </c>
      <c r="H45" s="33">
        <f aca="true" t="shared" si="14" ref="H45:H55">H44+G45</f>
        <v>14431</v>
      </c>
      <c r="I45" s="33">
        <f t="shared" si="11"/>
        <v>70569</v>
      </c>
      <c r="J45" s="33">
        <f>H45/2</f>
        <v>7215.5</v>
      </c>
      <c r="K45" s="42">
        <v>1469</v>
      </c>
      <c r="L45" s="42">
        <v>834</v>
      </c>
      <c r="M45" s="43"/>
    </row>
    <row r="46" spans="1:13" ht="15" hidden="1">
      <c r="A46" s="7">
        <v>41153</v>
      </c>
      <c r="B46" s="37">
        <f t="shared" si="12"/>
        <v>42500</v>
      </c>
      <c r="C46" s="33">
        <f t="shared" si="13"/>
        <v>127500</v>
      </c>
      <c r="D46" s="33">
        <v>0</v>
      </c>
      <c r="E46" s="33">
        <v>4531</v>
      </c>
      <c r="F46" s="33">
        <v>0</v>
      </c>
      <c r="G46" s="33">
        <f t="shared" si="10"/>
        <v>4531</v>
      </c>
      <c r="H46" s="33">
        <f t="shared" si="14"/>
        <v>18962</v>
      </c>
      <c r="I46" s="33">
        <f t="shared" si="11"/>
        <v>108538</v>
      </c>
      <c r="J46" s="33">
        <f>H46/3</f>
        <v>6320.666666666667</v>
      </c>
      <c r="K46" s="42">
        <v>1428</v>
      </c>
      <c r="L46" s="42">
        <v>903</v>
      </c>
      <c r="M46" s="43"/>
    </row>
    <row r="47" spans="1:13" ht="15" hidden="1">
      <c r="A47" s="7">
        <v>41183</v>
      </c>
      <c r="B47" s="37">
        <f t="shared" si="12"/>
        <v>42500</v>
      </c>
      <c r="C47" s="33">
        <f t="shared" si="13"/>
        <v>170000</v>
      </c>
      <c r="D47" s="33">
        <v>0</v>
      </c>
      <c r="E47" s="33">
        <v>9010</v>
      </c>
      <c r="F47" s="33">
        <v>0</v>
      </c>
      <c r="G47" s="33">
        <f t="shared" si="10"/>
        <v>9010</v>
      </c>
      <c r="H47" s="33">
        <f t="shared" si="14"/>
        <v>27972</v>
      </c>
      <c r="I47" s="33">
        <f t="shared" si="11"/>
        <v>142028</v>
      </c>
      <c r="J47" s="33">
        <f>H47/4</f>
        <v>6993</v>
      </c>
      <c r="K47" s="42">
        <v>1423</v>
      </c>
      <c r="L47" s="42">
        <v>853</v>
      </c>
      <c r="M47" s="43"/>
    </row>
    <row r="48" spans="1:13" ht="15" hidden="1">
      <c r="A48" s="7">
        <v>41214</v>
      </c>
      <c r="B48" s="37">
        <f t="shared" si="12"/>
        <v>42500</v>
      </c>
      <c r="C48" s="33">
        <f t="shared" si="13"/>
        <v>212500</v>
      </c>
      <c r="D48" s="33">
        <v>0</v>
      </c>
      <c r="E48" s="33">
        <v>14083</v>
      </c>
      <c r="F48" s="33">
        <v>0</v>
      </c>
      <c r="G48" s="33">
        <f t="shared" si="10"/>
        <v>14083</v>
      </c>
      <c r="H48" s="33">
        <f t="shared" si="14"/>
        <v>42055</v>
      </c>
      <c r="I48" s="33">
        <f t="shared" si="11"/>
        <v>170445</v>
      </c>
      <c r="J48" s="33">
        <f>H48/5</f>
        <v>8411</v>
      </c>
      <c r="K48" s="42">
        <v>1415</v>
      </c>
      <c r="L48" s="42">
        <v>878</v>
      </c>
      <c r="M48" s="43"/>
    </row>
    <row r="49" spans="1:13" ht="15" hidden="1">
      <c r="A49" s="45">
        <v>41244</v>
      </c>
      <c r="B49" s="37">
        <f t="shared" si="12"/>
        <v>42500</v>
      </c>
      <c r="C49" s="33">
        <f t="shared" si="13"/>
        <v>255000</v>
      </c>
      <c r="D49" s="33">
        <v>0</v>
      </c>
      <c r="E49" s="33">
        <v>6938</v>
      </c>
      <c r="F49" s="33">
        <v>0</v>
      </c>
      <c r="G49" s="33">
        <f t="shared" si="10"/>
        <v>6938</v>
      </c>
      <c r="H49" s="33">
        <f t="shared" si="14"/>
        <v>48993</v>
      </c>
      <c r="I49" s="33">
        <f t="shared" si="11"/>
        <v>206007</v>
      </c>
      <c r="J49" s="33">
        <f>H49/6</f>
        <v>8165.5</v>
      </c>
      <c r="K49" s="42"/>
      <c r="L49" s="42"/>
      <c r="M49" s="43"/>
    </row>
    <row r="50" spans="1:13" ht="15" hidden="1">
      <c r="A50" s="7">
        <v>41275</v>
      </c>
      <c r="B50" s="37">
        <f t="shared" si="12"/>
        <v>42500</v>
      </c>
      <c r="C50" s="33">
        <f t="shared" si="13"/>
        <v>297500</v>
      </c>
      <c r="D50" s="33">
        <v>0</v>
      </c>
      <c r="E50" s="33">
        <v>7757</v>
      </c>
      <c r="F50" s="33">
        <v>0</v>
      </c>
      <c r="G50" s="33">
        <f t="shared" si="10"/>
        <v>7757</v>
      </c>
      <c r="H50" s="33">
        <f t="shared" si="14"/>
        <v>56750</v>
      </c>
      <c r="I50" s="33">
        <f t="shared" si="11"/>
        <v>240750</v>
      </c>
      <c r="J50" s="33">
        <f>H50/7</f>
        <v>8107.142857142857</v>
      </c>
      <c r="K50" s="42"/>
      <c r="L50" s="42"/>
      <c r="M50" s="43"/>
    </row>
    <row r="51" spans="1:13" ht="15" hidden="1">
      <c r="A51" s="7">
        <v>41306</v>
      </c>
      <c r="B51" s="37">
        <f t="shared" si="12"/>
        <v>42500</v>
      </c>
      <c r="C51" s="33">
        <f t="shared" si="13"/>
        <v>340000</v>
      </c>
      <c r="D51" s="33">
        <v>0</v>
      </c>
      <c r="E51" s="33">
        <v>7341</v>
      </c>
      <c r="F51" s="33">
        <v>0</v>
      </c>
      <c r="G51" s="33">
        <f t="shared" si="10"/>
        <v>7341</v>
      </c>
      <c r="H51" s="33">
        <f t="shared" si="14"/>
        <v>64091</v>
      </c>
      <c r="I51" s="33">
        <f t="shared" si="11"/>
        <v>275909</v>
      </c>
      <c r="J51" s="33">
        <f>H51/8</f>
        <v>8011.375</v>
      </c>
      <c r="K51" s="42"/>
      <c r="L51" s="42"/>
      <c r="M51" s="43"/>
    </row>
    <row r="52" spans="1:13" ht="15" hidden="1">
      <c r="A52" s="7">
        <v>41334</v>
      </c>
      <c r="B52" s="37">
        <f t="shared" si="12"/>
        <v>42500</v>
      </c>
      <c r="C52" s="33">
        <f t="shared" si="13"/>
        <v>382500</v>
      </c>
      <c r="D52" s="33">
        <v>0</v>
      </c>
      <c r="E52" s="33">
        <v>8266</v>
      </c>
      <c r="F52" s="33">
        <v>0</v>
      </c>
      <c r="G52" s="33">
        <f t="shared" si="10"/>
        <v>8266</v>
      </c>
      <c r="H52" s="33">
        <f t="shared" si="14"/>
        <v>72357</v>
      </c>
      <c r="I52" s="33">
        <f t="shared" si="11"/>
        <v>310143</v>
      </c>
      <c r="J52" s="33">
        <f>H52/9</f>
        <v>8039.666666666667</v>
      </c>
      <c r="K52" s="42"/>
      <c r="L52" s="42"/>
      <c r="M52" s="43"/>
    </row>
    <row r="53" spans="1:13" ht="15" hidden="1">
      <c r="A53" s="7">
        <v>41365</v>
      </c>
      <c r="B53" s="37">
        <f t="shared" si="12"/>
        <v>42500</v>
      </c>
      <c r="C53" s="33">
        <f t="shared" si="13"/>
        <v>425000</v>
      </c>
      <c r="D53" s="33">
        <v>0</v>
      </c>
      <c r="E53" s="33">
        <v>10738</v>
      </c>
      <c r="F53" s="33">
        <v>0</v>
      </c>
      <c r="G53" s="33">
        <f t="shared" si="10"/>
        <v>10738</v>
      </c>
      <c r="H53" s="33">
        <f t="shared" si="14"/>
        <v>83095</v>
      </c>
      <c r="I53" s="33">
        <f t="shared" si="11"/>
        <v>341905</v>
      </c>
      <c r="J53" s="33">
        <f>H53/10</f>
        <v>8309.5</v>
      </c>
      <c r="K53" s="42"/>
      <c r="L53" s="42"/>
      <c r="M53" s="43"/>
    </row>
    <row r="54" spans="1:13" ht="15" hidden="1">
      <c r="A54" s="7">
        <v>41395</v>
      </c>
      <c r="B54" s="37">
        <f t="shared" si="12"/>
        <v>42500</v>
      </c>
      <c r="C54" s="33">
        <f t="shared" si="13"/>
        <v>467500</v>
      </c>
      <c r="D54" s="33">
        <v>0</v>
      </c>
      <c r="E54" s="33">
        <v>10560</v>
      </c>
      <c r="F54" s="33">
        <v>0</v>
      </c>
      <c r="G54" s="33">
        <f t="shared" si="10"/>
        <v>10560</v>
      </c>
      <c r="H54" s="33">
        <f t="shared" si="14"/>
        <v>93655</v>
      </c>
      <c r="I54" s="33">
        <f t="shared" si="11"/>
        <v>373845</v>
      </c>
      <c r="J54" s="33">
        <f>H54/11</f>
        <v>8514.09090909091</v>
      </c>
      <c r="K54" s="42"/>
      <c r="L54" s="42"/>
      <c r="M54" s="43"/>
    </row>
    <row r="55" spans="1:13" ht="15.75" hidden="1" thickBot="1">
      <c r="A55" s="7">
        <v>41426</v>
      </c>
      <c r="B55" s="39">
        <f t="shared" si="12"/>
        <v>42500</v>
      </c>
      <c r="C55" s="34">
        <f t="shared" si="13"/>
        <v>510000</v>
      </c>
      <c r="D55" s="34">
        <v>0</v>
      </c>
      <c r="E55" s="34">
        <v>9700</v>
      </c>
      <c r="F55" s="34">
        <v>0</v>
      </c>
      <c r="G55" s="34">
        <f t="shared" si="10"/>
        <v>9700</v>
      </c>
      <c r="H55" s="34">
        <f t="shared" si="14"/>
        <v>103355</v>
      </c>
      <c r="I55" s="34">
        <f t="shared" si="11"/>
        <v>406645</v>
      </c>
      <c r="J55" s="34">
        <f>H55/12</f>
        <v>8612.916666666666</v>
      </c>
      <c r="K55" s="40"/>
      <c r="L55" s="40"/>
      <c r="M55" s="41"/>
    </row>
    <row r="56" spans="1:13" ht="15" hidden="1">
      <c r="A56" s="7">
        <v>41456</v>
      </c>
      <c r="B56" s="37">
        <f>$B$91/24</f>
        <v>20500.958333333332</v>
      </c>
      <c r="C56" s="33">
        <f>B56</f>
        <v>20500.958333333332</v>
      </c>
      <c r="D56" s="33">
        <v>0</v>
      </c>
      <c r="E56" s="33">
        <v>7048</v>
      </c>
      <c r="F56" s="33">
        <v>0</v>
      </c>
      <c r="G56" s="33">
        <f t="shared" si="10"/>
        <v>7048</v>
      </c>
      <c r="H56" s="33">
        <f>G56</f>
        <v>7048</v>
      </c>
      <c r="I56" s="33">
        <f t="shared" si="11"/>
        <v>13452.958333333332</v>
      </c>
      <c r="J56" s="33">
        <f>H56</f>
        <v>7048</v>
      </c>
      <c r="K56" s="42">
        <v>1019</v>
      </c>
      <c r="L56" s="42">
        <v>742</v>
      </c>
      <c r="M56" s="43"/>
    </row>
    <row r="57" spans="1:13" ht="15" hidden="1">
      <c r="A57" s="7">
        <v>41487</v>
      </c>
      <c r="B57" s="37">
        <f aca="true" t="shared" si="15" ref="B57:B79">$B$91/24</f>
        <v>20500.958333333332</v>
      </c>
      <c r="C57" s="33">
        <f aca="true" t="shared" si="16" ref="C57:C79">C56+B57</f>
        <v>41001.916666666664</v>
      </c>
      <c r="D57" s="33">
        <v>0</v>
      </c>
      <c r="E57" s="33">
        <v>7326</v>
      </c>
      <c r="F57" s="33">
        <v>0</v>
      </c>
      <c r="G57" s="33">
        <f t="shared" si="10"/>
        <v>7326</v>
      </c>
      <c r="H57" s="33">
        <f aca="true" t="shared" si="17" ref="H57:H62">G57+H56</f>
        <v>14374</v>
      </c>
      <c r="I57" s="33">
        <f t="shared" si="11"/>
        <v>26627.916666666664</v>
      </c>
      <c r="J57" s="33">
        <f>H57/2</f>
        <v>7187</v>
      </c>
      <c r="K57" s="42">
        <v>1023</v>
      </c>
      <c r="L57" s="42">
        <v>771</v>
      </c>
      <c r="M57" s="43"/>
    </row>
    <row r="58" spans="1:13" ht="15" hidden="1">
      <c r="A58" s="7">
        <v>41518</v>
      </c>
      <c r="B58" s="37">
        <f t="shared" si="15"/>
        <v>20500.958333333332</v>
      </c>
      <c r="C58" s="33">
        <f t="shared" si="16"/>
        <v>61502.875</v>
      </c>
      <c r="D58" s="33">
        <v>0</v>
      </c>
      <c r="E58" s="33">
        <v>9066</v>
      </c>
      <c r="F58" s="33">
        <v>0</v>
      </c>
      <c r="G58" s="33">
        <f t="shared" si="10"/>
        <v>9066</v>
      </c>
      <c r="H58" s="33">
        <f t="shared" si="17"/>
        <v>23440</v>
      </c>
      <c r="I58" s="33">
        <f t="shared" si="11"/>
        <v>38062.875</v>
      </c>
      <c r="J58" s="33">
        <f>H58/3</f>
        <v>7813.333333333333</v>
      </c>
      <c r="K58" s="42">
        <v>1037</v>
      </c>
      <c r="L58" s="42">
        <v>1142</v>
      </c>
      <c r="M58" s="43"/>
    </row>
    <row r="59" spans="1:13" ht="15" hidden="1">
      <c r="A59" s="7">
        <v>41548</v>
      </c>
      <c r="B59" s="37">
        <f t="shared" si="15"/>
        <v>20500.958333333332</v>
      </c>
      <c r="C59" s="33">
        <f t="shared" si="16"/>
        <v>82003.83333333333</v>
      </c>
      <c r="D59" s="33">
        <v>0</v>
      </c>
      <c r="E59" s="33">
        <v>10102.9</v>
      </c>
      <c r="F59" s="33">
        <v>0</v>
      </c>
      <c r="G59" s="33">
        <f t="shared" si="10"/>
        <v>10102.9</v>
      </c>
      <c r="H59" s="33">
        <f t="shared" si="17"/>
        <v>33542.9</v>
      </c>
      <c r="I59" s="33">
        <f t="shared" si="11"/>
        <v>48460.93333333333</v>
      </c>
      <c r="J59" s="33">
        <f>H59/4</f>
        <v>8385.725</v>
      </c>
      <c r="K59" s="42">
        <v>1034</v>
      </c>
      <c r="L59" s="42">
        <v>822</v>
      </c>
      <c r="M59" s="43"/>
    </row>
    <row r="60" spans="1:13" ht="15" hidden="1">
      <c r="A60" s="7">
        <v>41579</v>
      </c>
      <c r="B60" s="37">
        <f t="shared" si="15"/>
        <v>20500.958333333332</v>
      </c>
      <c r="C60" s="33">
        <f t="shared" si="16"/>
        <v>102504.79166666666</v>
      </c>
      <c r="D60" s="33">
        <v>0</v>
      </c>
      <c r="E60" s="33">
        <v>8680.4</v>
      </c>
      <c r="F60" s="33">
        <v>0</v>
      </c>
      <c r="G60" s="33">
        <f t="shared" si="10"/>
        <v>8680.4</v>
      </c>
      <c r="H60" s="33">
        <f t="shared" si="17"/>
        <v>42223.3</v>
      </c>
      <c r="I60" s="33">
        <f aca="true" t="shared" si="18" ref="I60:I65">C60-H60</f>
        <v>60281.491666666654</v>
      </c>
      <c r="J60" s="33">
        <f>H60/5</f>
        <v>8444.66</v>
      </c>
      <c r="K60" s="42">
        <v>1072</v>
      </c>
      <c r="L60" s="42">
        <v>666</v>
      </c>
      <c r="M60" s="43"/>
    </row>
    <row r="61" spans="1:13" ht="15" hidden="1">
      <c r="A61" s="7">
        <v>41609</v>
      </c>
      <c r="B61" s="37">
        <f t="shared" si="15"/>
        <v>20500.958333333332</v>
      </c>
      <c r="C61" s="33">
        <f t="shared" si="16"/>
        <v>123005.74999999999</v>
      </c>
      <c r="D61" s="33">
        <v>0</v>
      </c>
      <c r="E61" s="33">
        <v>13305.36</v>
      </c>
      <c r="F61" s="33">
        <v>0</v>
      </c>
      <c r="G61" s="33">
        <f t="shared" si="10"/>
        <v>13305.36</v>
      </c>
      <c r="H61" s="33">
        <f t="shared" si="17"/>
        <v>55528.66</v>
      </c>
      <c r="I61" s="33">
        <f t="shared" si="18"/>
        <v>67477.08999999998</v>
      </c>
      <c r="J61" s="33">
        <f>H61/6</f>
        <v>9254.776666666667</v>
      </c>
      <c r="K61" s="42">
        <v>1070</v>
      </c>
      <c r="L61" s="42">
        <v>664</v>
      </c>
      <c r="M61" s="43"/>
    </row>
    <row r="62" spans="1:13" ht="15" hidden="1">
      <c r="A62" s="7">
        <v>41640</v>
      </c>
      <c r="B62" s="37">
        <f t="shared" si="15"/>
        <v>20500.958333333332</v>
      </c>
      <c r="C62" s="33">
        <f t="shared" si="16"/>
        <v>143506.7083333333</v>
      </c>
      <c r="D62" s="33">
        <v>0</v>
      </c>
      <c r="E62" s="33">
        <v>13080.15</v>
      </c>
      <c r="F62" s="33">
        <v>0</v>
      </c>
      <c r="G62" s="33">
        <f t="shared" si="10"/>
        <v>13080.15</v>
      </c>
      <c r="H62" s="33">
        <f t="shared" si="17"/>
        <v>68608.81</v>
      </c>
      <c r="I62" s="33">
        <f t="shared" si="18"/>
        <v>74897.89833333332</v>
      </c>
      <c r="J62" s="33">
        <f>H62/7</f>
        <v>9801.25857142857</v>
      </c>
      <c r="K62" s="42">
        <v>1055</v>
      </c>
      <c r="L62" s="42">
        <v>665</v>
      </c>
      <c r="M62" s="43"/>
    </row>
    <row r="63" spans="1:13" ht="15" hidden="1">
      <c r="A63" s="7">
        <v>41671</v>
      </c>
      <c r="B63" s="37">
        <f t="shared" si="15"/>
        <v>20500.958333333332</v>
      </c>
      <c r="C63" s="33">
        <f t="shared" si="16"/>
        <v>164007.66666666666</v>
      </c>
      <c r="D63" s="33">
        <v>0</v>
      </c>
      <c r="E63" s="33">
        <v>20049.2</v>
      </c>
      <c r="F63" s="33">
        <v>0</v>
      </c>
      <c r="G63" s="33">
        <f t="shared" si="10"/>
        <v>20049.2</v>
      </c>
      <c r="H63" s="33">
        <f aca="true" t="shared" si="19" ref="H63:H68">G63+H62</f>
        <v>88658.01</v>
      </c>
      <c r="I63" s="33">
        <f t="shared" si="18"/>
        <v>75349.65666666666</v>
      </c>
      <c r="J63" s="33">
        <f>H63/8</f>
        <v>11082.25125</v>
      </c>
      <c r="K63" s="42">
        <v>1067</v>
      </c>
      <c r="L63" s="42">
        <v>651</v>
      </c>
      <c r="M63" s="43"/>
    </row>
    <row r="64" spans="1:13" ht="15" hidden="1">
      <c r="A64" s="7">
        <v>41699</v>
      </c>
      <c r="B64" s="37">
        <f t="shared" si="15"/>
        <v>20500.958333333332</v>
      </c>
      <c r="C64" s="33">
        <f t="shared" si="16"/>
        <v>184508.625</v>
      </c>
      <c r="D64" s="33">
        <v>0</v>
      </c>
      <c r="E64" s="33">
        <v>15400.39</v>
      </c>
      <c r="F64" s="33">
        <v>0</v>
      </c>
      <c r="G64" s="33">
        <f t="shared" si="10"/>
        <v>15400.39</v>
      </c>
      <c r="H64" s="33">
        <f t="shared" si="19"/>
        <v>104058.4</v>
      </c>
      <c r="I64" s="33">
        <f t="shared" si="18"/>
        <v>80450.225</v>
      </c>
      <c r="J64" s="33">
        <f>H64/9</f>
        <v>11562.044444444444</v>
      </c>
      <c r="K64" s="42">
        <v>1049</v>
      </c>
      <c r="L64" s="42">
        <v>739</v>
      </c>
      <c r="M64" s="43"/>
    </row>
    <row r="65" spans="1:13" ht="15" hidden="1">
      <c r="A65" s="7">
        <v>41730</v>
      </c>
      <c r="B65" s="37">
        <f t="shared" si="15"/>
        <v>20500.958333333332</v>
      </c>
      <c r="C65" s="33">
        <f t="shared" si="16"/>
        <v>205009.58333333334</v>
      </c>
      <c r="D65" s="33">
        <v>0</v>
      </c>
      <c r="E65" s="33">
        <v>25073.25</v>
      </c>
      <c r="F65" s="33">
        <v>0</v>
      </c>
      <c r="G65" s="33">
        <f t="shared" si="10"/>
        <v>25073.25</v>
      </c>
      <c r="H65" s="33">
        <f t="shared" si="19"/>
        <v>129131.65</v>
      </c>
      <c r="I65" s="33">
        <f t="shared" si="18"/>
        <v>75877.93333333335</v>
      </c>
      <c r="J65" s="33">
        <f>H65/10</f>
        <v>12913.164999999999</v>
      </c>
      <c r="K65" s="42">
        <v>1055</v>
      </c>
      <c r="L65" s="42">
        <v>727</v>
      </c>
      <c r="M65" s="43"/>
    </row>
    <row r="66" spans="1:13" ht="15" hidden="1">
      <c r="A66" s="7">
        <v>41760</v>
      </c>
      <c r="B66" s="37">
        <f t="shared" si="15"/>
        <v>20500.958333333332</v>
      </c>
      <c r="C66" s="33">
        <f t="shared" si="16"/>
        <v>225510.5416666667</v>
      </c>
      <c r="D66" s="33">
        <v>0</v>
      </c>
      <c r="E66" s="33">
        <v>27623.8</v>
      </c>
      <c r="F66" s="33">
        <v>0</v>
      </c>
      <c r="G66" s="33">
        <f t="shared" si="10"/>
        <v>27623.8</v>
      </c>
      <c r="H66" s="33">
        <f t="shared" si="19"/>
        <v>156755.44999999998</v>
      </c>
      <c r="I66" s="33">
        <f aca="true" t="shared" si="20" ref="I66:I71">C66-H66</f>
        <v>68755.0916666667</v>
      </c>
      <c r="J66" s="33">
        <f>H66/11</f>
        <v>14250.495454545453</v>
      </c>
      <c r="K66" s="42">
        <v>982</v>
      </c>
      <c r="L66" s="42">
        <v>772</v>
      </c>
      <c r="M66" s="43"/>
    </row>
    <row r="67" spans="1:13" ht="15" hidden="1">
      <c r="A67" s="7">
        <v>41791</v>
      </c>
      <c r="B67" s="37">
        <f t="shared" si="15"/>
        <v>20500.958333333332</v>
      </c>
      <c r="C67" s="33">
        <f t="shared" si="16"/>
        <v>246011.50000000003</v>
      </c>
      <c r="D67" s="33">
        <v>0</v>
      </c>
      <c r="E67" s="33">
        <v>25829</v>
      </c>
      <c r="F67" s="33">
        <v>0</v>
      </c>
      <c r="G67" s="33">
        <f t="shared" si="10"/>
        <v>25829</v>
      </c>
      <c r="H67" s="33">
        <f t="shared" si="19"/>
        <v>182584.44999999998</v>
      </c>
      <c r="I67" s="33">
        <f t="shared" si="20"/>
        <v>63427.05000000005</v>
      </c>
      <c r="J67" s="33">
        <f>H67/12</f>
        <v>15215.370833333332</v>
      </c>
      <c r="K67" s="42">
        <v>940</v>
      </c>
      <c r="L67" s="42">
        <v>770</v>
      </c>
      <c r="M67" s="43"/>
    </row>
    <row r="68" spans="1:13" ht="15">
      <c r="A68" s="7">
        <v>41821</v>
      </c>
      <c r="B68" s="37">
        <f t="shared" si="15"/>
        <v>20500.958333333332</v>
      </c>
      <c r="C68" s="33">
        <f t="shared" si="16"/>
        <v>266512.4583333334</v>
      </c>
      <c r="D68" s="33">
        <v>0</v>
      </c>
      <c r="E68" s="33">
        <v>32653</v>
      </c>
      <c r="F68" s="33">
        <v>0</v>
      </c>
      <c r="G68" s="33">
        <f t="shared" si="10"/>
        <v>32653</v>
      </c>
      <c r="H68" s="33">
        <f t="shared" si="19"/>
        <v>215237.44999999998</v>
      </c>
      <c r="I68" s="33">
        <f t="shared" si="20"/>
        <v>51275.00833333339</v>
      </c>
      <c r="J68" s="33">
        <f>H68/13</f>
        <v>16556.726923076923</v>
      </c>
      <c r="K68" s="42">
        <v>897</v>
      </c>
      <c r="L68" s="42">
        <v>769</v>
      </c>
      <c r="M68" s="43"/>
    </row>
    <row r="69" spans="1:13" ht="15">
      <c r="A69" s="7">
        <v>41852</v>
      </c>
      <c r="B69" s="37">
        <f t="shared" si="15"/>
        <v>20500.958333333332</v>
      </c>
      <c r="C69" s="33">
        <f t="shared" si="16"/>
        <v>287013.4166666667</v>
      </c>
      <c r="D69" s="33">
        <v>0</v>
      </c>
      <c r="E69" s="33">
        <v>30777</v>
      </c>
      <c r="F69" s="33">
        <v>0</v>
      </c>
      <c r="G69" s="33">
        <f t="shared" si="10"/>
        <v>30777</v>
      </c>
      <c r="H69" s="33">
        <f aca="true" t="shared" si="21" ref="H69:H74">G69+H68</f>
        <v>246014.44999999998</v>
      </c>
      <c r="I69" s="33">
        <f t="shared" si="20"/>
        <v>40998.9666666667</v>
      </c>
      <c r="J69" s="33">
        <f>H69/14</f>
        <v>17572.460714285713</v>
      </c>
      <c r="K69" s="42">
        <v>866</v>
      </c>
      <c r="L69" s="42">
        <v>865</v>
      </c>
      <c r="M69" s="43"/>
    </row>
    <row r="70" spans="1:13" ht="15">
      <c r="A70" s="7">
        <v>41883</v>
      </c>
      <c r="B70" s="37">
        <f t="shared" si="15"/>
        <v>20500.958333333332</v>
      </c>
      <c r="C70" s="33">
        <f t="shared" si="16"/>
        <v>307514.375</v>
      </c>
      <c r="D70" s="33">
        <v>0</v>
      </c>
      <c r="E70" s="33">
        <v>30135</v>
      </c>
      <c r="F70" s="33">
        <v>0</v>
      </c>
      <c r="G70" s="33">
        <f t="shared" si="10"/>
        <v>30135</v>
      </c>
      <c r="H70" s="33">
        <f t="shared" si="21"/>
        <v>276149.44999999995</v>
      </c>
      <c r="I70" s="33">
        <f t="shared" si="20"/>
        <v>31364.925000000047</v>
      </c>
      <c r="J70" s="33">
        <f>H70/15</f>
        <v>18409.96333333333</v>
      </c>
      <c r="K70" s="42">
        <v>814</v>
      </c>
      <c r="L70" s="42">
        <v>714</v>
      </c>
      <c r="M70" s="43"/>
    </row>
    <row r="71" spans="1:13" ht="15">
      <c r="A71" s="7">
        <v>41913</v>
      </c>
      <c r="B71" s="37">
        <f t="shared" si="15"/>
        <v>20500.958333333332</v>
      </c>
      <c r="C71" s="33">
        <f t="shared" si="16"/>
        <v>328015.3333333333</v>
      </c>
      <c r="D71" s="33">
        <v>0</v>
      </c>
      <c r="E71" s="33">
        <v>33585</v>
      </c>
      <c r="F71" s="33">
        <v>0</v>
      </c>
      <c r="G71" s="33">
        <f t="shared" si="10"/>
        <v>33585</v>
      </c>
      <c r="H71" s="33">
        <f t="shared" si="21"/>
        <v>309734.44999999995</v>
      </c>
      <c r="I71" s="33">
        <f t="shared" si="20"/>
        <v>18280.88333333336</v>
      </c>
      <c r="J71" s="33">
        <f>H71/16</f>
        <v>19358.403124999997</v>
      </c>
      <c r="K71" s="42">
        <v>761</v>
      </c>
      <c r="L71" s="42">
        <v>713</v>
      </c>
      <c r="M71" s="43"/>
    </row>
    <row r="72" spans="1:13" ht="15">
      <c r="A72" s="7">
        <v>41944</v>
      </c>
      <c r="B72" s="37">
        <f t="shared" si="15"/>
        <v>20500.958333333332</v>
      </c>
      <c r="C72" s="33">
        <f t="shared" si="16"/>
        <v>348516.2916666666</v>
      </c>
      <c r="D72" s="33">
        <v>0</v>
      </c>
      <c r="E72" s="33">
        <v>23496</v>
      </c>
      <c r="F72" s="33">
        <v>0</v>
      </c>
      <c r="G72" s="33">
        <f t="shared" si="10"/>
        <v>23496</v>
      </c>
      <c r="H72" s="33">
        <f t="shared" si="21"/>
        <v>333230.44999999995</v>
      </c>
      <c r="I72" s="33">
        <f>C72-H72</f>
        <v>15285.841666666674</v>
      </c>
      <c r="J72" s="33">
        <f>H72/17</f>
        <v>19601.791176470586</v>
      </c>
      <c r="K72" s="42">
        <v>691</v>
      </c>
      <c r="L72" s="42">
        <v>683</v>
      </c>
      <c r="M72" s="43"/>
    </row>
    <row r="73" spans="1:13" ht="15">
      <c r="A73" s="7">
        <v>41974</v>
      </c>
      <c r="B73" s="37">
        <f t="shared" si="15"/>
        <v>20500.958333333332</v>
      </c>
      <c r="C73" s="33">
        <f t="shared" si="16"/>
        <v>369017.24999999994</v>
      </c>
      <c r="D73" s="33">
        <v>0</v>
      </c>
      <c r="E73" s="33">
        <v>23442</v>
      </c>
      <c r="F73" s="33">
        <v>0</v>
      </c>
      <c r="G73" s="33">
        <f t="shared" si="10"/>
        <v>23442</v>
      </c>
      <c r="H73" s="33">
        <f t="shared" si="21"/>
        <v>356672.44999999995</v>
      </c>
      <c r="I73" s="33">
        <f>C73-H73</f>
        <v>12344.799999999988</v>
      </c>
      <c r="J73" s="33">
        <f>H73/18</f>
        <v>19815.136111111107</v>
      </c>
      <c r="K73" s="42">
        <v>643</v>
      </c>
      <c r="L73" s="42">
        <v>585</v>
      </c>
      <c r="M73" s="43"/>
    </row>
    <row r="74" spans="1:13" ht="15">
      <c r="A74" s="7">
        <v>42005</v>
      </c>
      <c r="B74" s="37">
        <f t="shared" si="15"/>
        <v>20500.958333333332</v>
      </c>
      <c r="C74" s="33">
        <f t="shared" si="16"/>
        <v>389518.20833333326</v>
      </c>
      <c r="D74" s="33">
        <v>0</v>
      </c>
      <c r="E74" s="33">
        <v>24372</v>
      </c>
      <c r="F74" s="33">
        <v>0</v>
      </c>
      <c r="G74" s="33">
        <f t="shared" si="10"/>
        <v>24372</v>
      </c>
      <c r="H74" s="33">
        <f t="shared" si="21"/>
        <v>381044.44999999995</v>
      </c>
      <c r="I74" s="33">
        <f>C74-H74</f>
        <v>8473.758333333302</v>
      </c>
      <c r="J74" s="33">
        <f>H74/19</f>
        <v>20054.971052631576</v>
      </c>
      <c r="K74" s="42">
        <v>651</v>
      </c>
      <c r="L74" s="42">
        <v>645</v>
      </c>
      <c r="M74" s="43"/>
    </row>
    <row r="75" spans="1:13" ht="15">
      <c r="A75" s="7">
        <v>42036</v>
      </c>
      <c r="B75" s="37">
        <f t="shared" si="15"/>
        <v>20500.958333333332</v>
      </c>
      <c r="C75" s="33">
        <f t="shared" si="16"/>
        <v>410019.16666666657</v>
      </c>
      <c r="D75" s="33"/>
      <c r="E75" s="33"/>
      <c r="F75" s="33"/>
      <c r="G75" s="33"/>
      <c r="H75" s="33"/>
      <c r="I75" s="33"/>
      <c r="J75" s="33"/>
      <c r="K75" s="42"/>
      <c r="L75" s="42"/>
      <c r="M75" s="43"/>
    </row>
    <row r="76" spans="1:13" ht="15">
      <c r="A76" s="7">
        <v>42064</v>
      </c>
      <c r="B76" s="37">
        <f t="shared" si="15"/>
        <v>20500.958333333332</v>
      </c>
      <c r="C76" s="33">
        <f t="shared" si="16"/>
        <v>430520.1249999999</v>
      </c>
      <c r="D76" s="33"/>
      <c r="E76" s="33"/>
      <c r="F76" s="33"/>
      <c r="G76" s="33"/>
      <c r="H76" s="33"/>
      <c r="I76" s="33"/>
      <c r="J76" s="33"/>
      <c r="K76" s="42"/>
      <c r="L76" s="42"/>
      <c r="M76" s="43"/>
    </row>
    <row r="77" spans="1:13" ht="15">
      <c r="A77" s="7">
        <v>42095</v>
      </c>
      <c r="B77" s="37">
        <f t="shared" si="15"/>
        <v>20500.958333333332</v>
      </c>
      <c r="C77" s="33">
        <f t="shared" si="16"/>
        <v>451021.0833333332</v>
      </c>
      <c r="D77" s="33"/>
      <c r="E77" s="33"/>
      <c r="F77" s="33"/>
      <c r="G77" s="33"/>
      <c r="H77" s="33"/>
      <c r="I77" s="33"/>
      <c r="J77" s="33"/>
      <c r="K77" s="42"/>
      <c r="L77" s="42"/>
      <c r="M77" s="43"/>
    </row>
    <row r="78" spans="1:13" ht="15">
      <c r="A78" s="7">
        <v>42125</v>
      </c>
      <c r="B78" s="37">
        <f t="shared" si="15"/>
        <v>20500.958333333332</v>
      </c>
      <c r="C78" s="33">
        <f t="shared" si="16"/>
        <v>471522.0416666665</v>
      </c>
      <c r="D78" s="33"/>
      <c r="E78" s="33"/>
      <c r="F78" s="33"/>
      <c r="G78" s="33"/>
      <c r="H78" s="33"/>
      <c r="I78" s="33"/>
      <c r="J78" s="33"/>
      <c r="K78" s="42"/>
      <c r="L78" s="42"/>
      <c r="M78" s="43"/>
    </row>
    <row r="79" spans="1:13" ht="15">
      <c r="A79" s="7">
        <v>42156</v>
      </c>
      <c r="B79" s="37">
        <f t="shared" si="15"/>
        <v>20500.958333333332</v>
      </c>
      <c r="C79" s="33">
        <f t="shared" si="16"/>
        <v>492022.9999999998</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326493</v>
      </c>
      <c r="C81" s="25">
        <f>SUM(B8:B19)</f>
        <v>326493</v>
      </c>
      <c r="D81" s="25">
        <f>SUM(D8:D19)</f>
        <v>19103</v>
      </c>
      <c r="E81" s="25">
        <f>SUM(E8:E19)</f>
        <v>351051</v>
      </c>
      <c r="F81" s="25"/>
      <c r="G81" s="25">
        <f>SUM(G8:G19)</f>
        <v>370154</v>
      </c>
      <c r="H81" s="25">
        <f>G81</f>
        <v>370154</v>
      </c>
      <c r="I81" s="25">
        <f>I19</f>
        <v>-43661</v>
      </c>
      <c r="J81" s="25">
        <f>J19</f>
        <v>37060.4</v>
      </c>
      <c r="K81" s="30">
        <f>SUM(K8:K19)</f>
        <v>3457</v>
      </c>
      <c r="L81" s="30">
        <f>SUM(L8:L19)</f>
        <v>3357</v>
      </c>
      <c r="M81" s="30">
        <f>SUM(M8:M19)</f>
        <v>384</v>
      </c>
    </row>
    <row r="82" spans="1:13" ht="15" hidden="1">
      <c r="A82" s="20" t="s">
        <v>22</v>
      </c>
      <c r="B82" s="25">
        <v>637892</v>
      </c>
      <c r="C82" s="25">
        <f>C31</f>
        <v>637892.0000000001</v>
      </c>
      <c r="D82" s="25">
        <f>SUM(D20:D31)</f>
        <v>22244</v>
      </c>
      <c r="E82" s="25">
        <f>SUM(E20:E31)</f>
        <v>467985</v>
      </c>
      <c r="F82" s="25"/>
      <c r="G82" s="25">
        <f>SUM(G20:G31)</f>
        <v>490229</v>
      </c>
      <c r="H82" s="25">
        <f>G82</f>
        <v>490229</v>
      </c>
      <c r="I82" s="25">
        <f>I31</f>
        <v>147663.00000000012</v>
      </c>
      <c r="J82" s="25">
        <f>AVERAGE(G20:G31)</f>
        <v>40852.416666666664</v>
      </c>
      <c r="K82" s="30">
        <f>SUM(K20:K31)</f>
        <v>6178</v>
      </c>
      <c r="L82" s="30">
        <f>SUM(L20:L31)</f>
        <v>4782</v>
      </c>
      <c r="M82" s="30">
        <f>SUM(M20:M31)</f>
        <v>1116</v>
      </c>
    </row>
    <row r="83" spans="1:13" ht="15" hidden="1">
      <c r="A83" s="20" t="s">
        <v>23</v>
      </c>
      <c r="B83" s="25">
        <f>SUM(B81:B82)</f>
        <v>964385</v>
      </c>
      <c r="C83" s="25">
        <f>SUM(C81:C82)</f>
        <v>964385.0000000001</v>
      </c>
      <c r="D83" s="25">
        <f>D81+D82</f>
        <v>41347</v>
      </c>
      <c r="E83" s="25">
        <f>E81+E82</f>
        <v>819036</v>
      </c>
      <c r="F83" s="25"/>
      <c r="G83" s="25">
        <f>G81+G82</f>
        <v>860383</v>
      </c>
      <c r="H83" s="25">
        <f>H81+H82</f>
        <v>860383</v>
      </c>
      <c r="I83" s="25"/>
      <c r="J83" s="25">
        <f>AVERAGE(G8:G31)</f>
        <v>35849.291666666664</v>
      </c>
      <c r="K83" s="27">
        <f>SUM(K81:K82)</f>
        <v>9635</v>
      </c>
      <c r="L83" s="27">
        <f>SUM(L81:L82)</f>
        <v>8139</v>
      </c>
      <c r="M83" s="27">
        <f>SUM(M81:M82)</f>
        <v>1500</v>
      </c>
    </row>
    <row r="84" spans="1:12" ht="15" hidden="1">
      <c r="A84" s="20"/>
      <c r="B84" s="25"/>
      <c r="C84" s="25"/>
      <c r="D84" s="25"/>
      <c r="E84" s="25"/>
      <c r="F84" s="25"/>
      <c r="G84" s="25"/>
      <c r="H84" s="25"/>
      <c r="I84" s="25"/>
      <c r="J84" s="25"/>
      <c r="K84" s="27"/>
      <c r="L84" s="27"/>
    </row>
    <row r="85" spans="1:13" ht="15" hidden="1">
      <c r="A85" s="20" t="s">
        <v>24</v>
      </c>
      <c r="B85" s="25">
        <v>236815</v>
      </c>
      <c r="C85" s="25">
        <f>C43</f>
        <v>236815.00000000003</v>
      </c>
      <c r="D85" s="25">
        <f>SUM(D32:D43)</f>
        <v>50</v>
      </c>
      <c r="E85" s="25">
        <f>SUM(E32:E43)</f>
        <v>35501</v>
      </c>
      <c r="F85" s="25">
        <f>SUM(F32:F74)</f>
        <v>123</v>
      </c>
      <c r="G85" s="25">
        <f>SUM(G32:G43)</f>
        <v>35701</v>
      </c>
      <c r="H85" s="25">
        <f>G85</f>
        <v>35701</v>
      </c>
      <c r="I85" s="25">
        <f>I43</f>
        <v>201114.00000000003</v>
      </c>
      <c r="J85" s="25">
        <f>AVERAGE(G32:G43)</f>
        <v>2975.0833333333335</v>
      </c>
      <c r="K85" s="30">
        <f>SUM(K32:K43)</f>
        <v>15453</v>
      </c>
      <c r="L85" s="30">
        <f>SUM(L32:L43)</f>
        <v>7902</v>
      </c>
      <c r="M85" s="4">
        <f>SUM(M32:M43)</f>
        <v>804</v>
      </c>
    </row>
    <row r="86" spans="1:13" ht="15" hidden="1">
      <c r="A86" s="20" t="s">
        <v>25</v>
      </c>
      <c r="B86" s="25">
        <v>510000</v>
      </c>
      <c r="C86" s="25">
        <f>SUM(B44:B55)</f>
        <v>510000</v>
      </c>
      <c r="D86" s="25">
        <f>SUM(D44:D55)</f>
        <v>0</v>
      </c>
      <c r="E86" s="25">
        <f>SUM(E44:E55)</f>
        <v>103355</v>
      </c>
      <c r="F86" s="25">
        <f>SUM(F44:F55)</f>
        <v>0</v>
      </c>
      <c r="G86" s="25">
        <f>SUM(G44:G55)</f>
        <v>103355</v>
      </c>
      <c r="H86" s="25">
        <f>G86</f>
        <v>103355</v>
      </c>
      <c r="I86" s="25">
        <f>I55</f>
        <v>406645</v>
      </c>
      <c r="J86" s="25">
        <f>J55</f>
        <v>8612.916666666666</v>
      </c>
      <c r="K86" s="30">
        <f>SUM(K44:K55)</f>
        <v>7193</v>
      </c>
      <c r="L86" s="30">
        <f>SUM(L44:L55)</f>
        <v>4333</v>
      </c>
      <c r="M86" s="44">
        <f>SUM(M44:M55)</f>
        <v>0</v>
      </c>
    </row>
    <row r="87" spans="1:13" ht="15" hidden="1">
      <c r="A87" s="20" t="s">
        <v>26</v>
      </c>
      <c r="B87" s="25">
        <f>B85+B86</f>
        <v>746815</v>
      </c>
      <c r="C87" s="25">
        <f aca="true" t="shared" si="22" ref="C87:M87">SUM(C85:C86)</f>
        <v>746815</v>
      </c>
      <c r="D87" s="25">
        <f t="shared" si="22"/>
        <v>50</v>
      </c>
      <c r="E87" s="25">
        <f t="shared" si="22"/>
        <v>138856</v>
      </c>
      <c r="F87" s="25">
        <f t="shared" si="22"/>
        <v>123</v>
      </c>
      <c r="G87" s="25">
        <f t="shared" si="22"/>
        <v>139056</v>
      </c>
      <c r="H87" s="25">
        <f t="shared" si="22"/>
        <v>139056</v>
      </c>
      <c r="I87" s="25">
        <f t="shared" si="22"/>
        <v>607759</v>
      </c>
      <c r="J87" s="25">
        <f t="shared" si="22"/>
        <v>11588</v>
      </c>
      <c r="K87" s="27">
        <f t="shared" si="22"/>
        <v>22646</v>
      </c>
      <c r="L87" s="27">
        <f t="shared" si="22"/>
        <v>12235</v>
      </c>
      <c r="M87" s="27">
        <f t="shared" si="22"/>
        <v>804</v>
      </c>
    </row>
    <row r="88" spans="1:13" ht="15" hidden="1">
      <c r="A88" s="20"/>
      <c r="B88" s="25"/>
      <c r="C88" s="25"/>
      <c r="D88" s="25"/>
      <c r="E88" s="25"/>
      <c r="F88" s="25"/>
      <c r="G88" s="25"/>
      <c r="H88" s="25"/>
      <c r="I88" s="25"/>
      <c r="J88" s="25"/>
      <c r="K88" s="27"/>
      <c r="L88" s="27"/>
      <c r="M88" s="27"/>
    </row>
    <row r="89" spans="1:13" s="56" customFormat="1" ht="18" hidden="1">
      <c r="A89" s="52" t="s">
        <v>27</v>
      </c>
      <c r="B89" s="53">
        <f>1106948/2</f>
        <v>553474</v>
      </c>
      <c r="C89" s="53">
        <f>C67</f>
        <v>246011.50000000003</v>
      </c>
      <c r="D89" s="53">
        <f>SUM(D56:D67)</f>
        <v>0</v>
      </c>
      <c r="E89" s="53">
        <f>SUM(E56:E67)</f>
        <v>182584.44999999998</v>
      </c>
      <c r="F89" s="53">
        <f>SUM(F56:F67)</f>
        <v>0</v>
      </c>
      <c r="G89" s="53">
        <f>SUM(G56:G67)</f>
        <v>182584.44999999998</v>
      </c>
      <c r="H89" s="53">
        <f>H67</f>
        <v>182584.44999999998</v>
      </c>
      <c r="I89" s="53">
        <f>I67</f>
        <v>63427.05000000005</v>
      </c>
      <c r="J89" s="53">
        <f>J67</f>
        <v>15215.370833333332</v>
      </c>
      <c r="K89" s="54">
        <f>SUM(K56:K67)</f>
        <v>12403</v>
      </c>
      <c r="L89" s="54">
        <f>SUM(L56:L67)</f>
        <v>9131</v>
      </c>
      <c r="M89" s="55"/>
    </row>
    <row r="90" spans="1:13" s="56" customFormat="1" ht="18" hidden="1">
      <c r="A90" s="52" t="s">
        <v>28</v>
      </c>
      <c r="B90" s="53">
        <f>1106948/2</f>
        <v>553474</v>
      </c>
      <c r="C90" s="53">
        <v>553473.9999999999</v>
      </c>
      <c r="D90" s="53">
        <f>SUM(D68:D79)</f>
        <v>0</v>
      </c>
      <c r="E90" s="53">
        <f>SUM(E68:E79)</f>
        <v>198460</v>
      </c>
      <c r="F90" s="53">
        <f>SUM(F68:F79)</f>
        <v>0</v>
      </c>
      <c r="G90" s="53">
        <f>SUM(G68:G79)</f>
        <v>198460</v>
      </c>
      <c r="H90" s="53"/>
      <c r="I90" s="58"/>
      <c r="J90" s="53"/>
      <c r="K90" s="54">
        <f>SUM(K68:K79)</f>
        <v>5323</v>
      </c>
      <c r="L90" s="54">
        <f>SUM(L68:L79)</f>
        <v>4974</v>
      </c>
      <c r="M90" s="55"/>
    </row>
    <row r="91" spans="1:13" ht="18">
      <c r="A91" s="20" t="s">
        <v>29</v>
      </c>
      <c r="B91" s="8">
        <v>492023</v>
      </c>
      <c r="C91" s="8">
        <f>C79</f>
        <v>492022.9999999998</v>
      </c>
      <c r="D91" s="8">
        <f aca="true" t="shared" si="23" ref="D91:L91">D89+D90</f>
        <v>0</v>
      </c>
      <c r="E91" s="8">
        <f t="shared" si="23"/>
        <v>381044.44999999995</v>
      </c>
      <c r="F91" s="8">
        <f t="shared" si="23"/>
        <v>0</v>
      </c>
      <c r="G91" s="8">
        <f t="shared" si="23"/>
        <v>381044.44999999995</v>
      </c>
      <c r="H91" s="8">
        <f>H74</f>
        <v>381044.44999999995</v>
      </c>
      <c r="I91" s="8">
        <f>I74</f>
        <v>8473.758333333302</v>
      </c>
      <c r="J91" s="8">
        <f>J74</f>
        <v>20054.971052631576</v>
      </c>
      <c r="K91" s="9">
        <f t="shared" si="23"/>
        <v>17726</v>
      </c>
      <c r="L91" s="9">
        <f t="shared" si="23"/>
        <v>14105</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7" ht="15">
      <c r="B99" s="29"/>
      <c r="C99" s="29"/>
      <c r="D99" s="29"/>
      <c r="E99" s="29"/>
      <c r="F99" s="29"/>
      <c r="G99" s="29"/>
    </row>
    <row r="100" spans="1:7" ht="18">
      <c r="A100" s="5"/>
      <c r="B100" s="29"/>
      <c r="C100" s="29"/>
      <c r="D100" s="29"/>
      <c r="E100" s="29"/>
      <c r="F100" s="29"/>
      <c r="G100" s="29"/>
    </row>
    <row r="101" spans="1:7" ht="15">
      <c r="A101" s="20"/>
      <c r="B101" s="29"/>
      <c r="C101" s="29"/>
      <c r="D101" s="29"/>
      <c r="E101" s="29"/>
      <c r="F101" s="29"/>
      <c r="G101" s="29"/>
    </row>
    <row r="102" spans="1:7" ht="15">
      <c r="A102" s="20"/>
      <c r="B102" s="29"/>
      <c r="C102" s="29"/>
      <c r="D102" s="29"/>
      <c r="E102" s="29"/>
      <c r="F102" s="29"/>
      <c r="G102" s="29"/>
    </row>
  </sheetData>
  <sheetProtection/>
  <printOptions horizontalCentered="1"/>
  <pageMargins left="0.28" right="0.22" top="0.43" bottom="0.45" header="0.5" footer="0.5"/>
  <pageSetup fitToHeight="1" fitToWidth="1" orientation="landscape" scale="66"/>
  <headerFooter alignWithMargins="0">
    <oddFooter>&amp;L&amp;F    &amp;A&amp;C&amp;D&amp;T&amp;R&amp;P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H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5.8515625" style="4" customWidth="1"/>
    <col min="3" max="12" width="16.8515625" style="4" customWidth="1"/>
    <col min="13" max="13" width="8.8515625" style="4" hidden="1" customWidth="1"/>
  </cols>
  <sheetData>
    <row r="1" spans="1:10" ht="18">
      <c r="A1" s="1" t="s">
        <v>0</v>
      </c>
      <c r="B1" s="2"/>
      <c r="C1" s="3"/>
      <c r="D1" s="3"/>
      <c r="E1" s="3"/>
      <c r="F1" s="3"/>
      <c r="G1" s="2"/>
      <c r="H1" s="2"/>
      <c r="I1" s="2"/>
      <c r="J1" s="2"/>
    </row>
    <row r="2" spans="1:2" ht="18">
      <c r="A2" s="5" t="s">
        <v>1</v>
      </c>
      <c r="B2" s="6">
        <v>11</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35</v>
      </c>
      <c r="M6" s="4" t="s">
        <v>20</v>
      </c>
    </row>
    <row r="7" spans="2:12" ht="12.75">
      <c r="B7" s="2"/>
      <c r="C7" s="2"/>
      <c r="D7" s="2"/>
      <c r="E7" s="2"/>
      <c r="F7" s="2"/>
      <c r="G7" s="2"/>
      <c r="H7" s="2"/>
      <c r="J7" s="2"/>
      <c r="L7" s="4" t="s">
        <v>36</v>
      </c>
    </row>
    <row r="8" spans="1:12" ht="15" hidden="1">
      <c r="A8" s="7">
        <v>39264</v>
      </c>
      <c r="B8" s="25">
        <f aca="true" t="shared" si="0" ref="B8:B19">$B$81/12</f>
        <v>17723.583333333332</v>
      </c>
      <c r="C8" s="25">
        <f>B8</f>
        <v>17723.583333333332</v>
      </c>
      <c r="D8" s="25">
        <v>290</v>
      </c>
      <c r="E8" s="25">
        <v>15534</v>
      </c>
      <c r="F8" s="25"/>
      <c r="G8" s="25">
        <f aca="true" t="shared" si="1" ref="G8:G31">D8+E8</f>
        <v>15824</v>
      </c>
      <c r="H8" s="25">
        <f>G8</f>
        <v>15824</v>
      </c>
      <c r="I8" s="25">
        <f aca="true" t="shared" si="2" ref="I8:I39">C8-H8</f>
        <v>1899.5833333333321</v>
      </c>
      <c r="J8" s="25">
        <f>H8</f>
        <v>15824</v>
      </c>
      <c r="K8" s="30">
        <v>110</v>
      </c>
      <c r="L8" s="30">
        <v>142</v>
      </c>
    </row>
    <row r="9" spans="1:12" ht="15" hidden="1">
      <c r="A9" s="7">
        <v>39295</v>
      </c>
      <c r="B9" s="25">
        <f t="shared" si="0"/>
        <v>17723.583333333332</v>
      </c>
      <c r="C9" s="25">
        <f aca="true" t="shared" si="3" ref="C9:C19">C8+B9</f>
        <v>35447.166666666664</v>
      </c>
      <c r="D9" s="25">
        <v>100</v>
      </c>
      <c r="E9" s="25">
        <v>20230</v>
      </c>
      <c r="F9" s="25"/>
      <c r="G9" s="25">
        <f t="shared" si="1"/>
        <v>20330</v>
      </c>
      <c r="H9" s="25">
        <f aca="true" t="shared" si="4" ref="H9:H19">H8+G9</f>
        <v>36154</v>
      </c>
      <c r="I9" s="25">
        <f t="shared" si="2"/>
        <v>-706.8333333333358</v>
      </c>
      <c r="J9" s="25">
        <f>AVERAGE(G8:G9)</f>
        <v>18077</v>
      </c>
      <c r="K9" s="30">
        <v>101</v>
      </c>
      <c r="L9" s="30">
        <v>115</v>
      </c>
    </row>
    <row r="10" spans="1:12" ht="15" hidden="1">
      <c r="A10" s="7">
        <v>39326</v>
      </c>
      <c r="B10" s="25">
        <f t="shared" si="0"/>
        <v>17723.583333333332</v>
      </c>
      <c r="C10" s="25">
        <f t="shared" si="3"/>
        <v>53170.75</v>
      </c>
      <c r="D10" s="25">
        <v>40</v>
      </c>
      <c r="E10" s="25">
        <v>9304</v>
      </c>
      <c r="F10" s="25"/>
      <c r="G10" s="25">
        <f t="shared" si="1"/>
        <v>9344</v>
      </c>
      <c r="H10" s="25">
        <f t="shared" si="4"/>
        <v>45498</v>
      </c>
      <c r="I10" s="25">
        <f t="shared" si="2"/>
        <v>7672.75</v>
      </c>
      <c r="J10" s="25">
        <f>AVERAGE(G8:G10)</f>
        <v>15166</v>
      </c>
      <c r="K10" s="30">
        <v>109</v>
      </c>
      <c r="L10" s="30">
        <v>115</v>
      </c>
    </row>
    <row r="11" spans="1:13" ht="15" hidden="1">
      <c r="A11" s="7">
        <v>39356</v>
      </c>
      <c r="B11" s="25">
        <f t="shared" si="0"/>
        <v>17723.583333333332</v>
      </c>
      <c r="C11" s="25">
        <f t="shared" si="3"/>
        <v>70894.33333333333</v>
      </c>
      <c r="D11" s="25">
        <v>300</v>
      </c>
      <c r="E11" s="25">
        <v>14926</v>
      </c>
      <c r="F11" s="25"/>
      <c r="G11" s="25">
        <f t="shared" si="1"/>
        <v>15226</v>
      </c>
      <c r="H11" s="25">
        <f t="shared" si="4"/>
        <v>60724</v>
      </c>
      <c r="I11" s="25">
        <f t="shared" si="2"/>
        <v>10170.333333333328</v>
      </c>
      <c r="J11" s="25">
        <f>AVERAGE(G8:G11)</f>
        <v>15181</v>
      </c>
      <c r="K11" s="30">
        <v>103</v>
      </c>
      <c r="L11" s="30">
        <v>79</v>
      </c>
      <c r="M11" s="29">
        <v>5</v>
      </c>
    </row>
    <row r="12" spans="1:13" ht="15" hidden="1">
      <c r="A12" s="7">
        <v>39387</v>
      </c>
      <c r="B12" s="25">
        <f t="shared" si="0"/>
        <v>17723.583333333332</v>
      </c>
      <c r="C12" s="25">
        <f t="shared" si="3"/>
        <v>88617.91666666666</v>
      </c>
      <c r="D12" s="25">
        <v>1123</v>
      </c>
      <c r="E12" s="25">
        <v>11632</v>
      </c>
      <c r="F12" s="25"/>
      <c r="G12" s="25">
        <f t="shared" si="1"/>
        <v>12755</v>
      </c>
      <c r="H12" s="25">
        <f t="shared" si="4"/>
        <v>73479</v>
      </c>
      <c r="I12" s="25">
        <f t="shared" si="2"/>
        <v>15138.916666666657</v>
      </c>
      <c r="J12" s="25">
        <f>AVERAGE(G8:G12)</f>
        <v>14695.8</v>
      </c>
      <c r="K12" s="30">
        <v>120</v>
      </c>
      <c r="L12" s="30">
        <v>79</v>
      </c>
      <c r="M12" s="29">
        <v>10</v>
      </c>
    </row>
    <row r="13" spans="1:13" ht="15" hidden="1">
      <c r="A13" s="7">
        <v>39417</v>
      </c>
      <c r="B13" s="25">
        <f t="shared" si="0"/>
        <v>17723.583333333332</v>
      </c>
      <c r="C13" s="25">
        <f t="shared" si="3"/>
        <v>106341.49999999999</v>
      </c>
      <c r="D13" s="25">
        <v>1055</v>
      </c>
      <c r="E13" s="25">
        <v>14912</v>
      </c>
      <c r="F13" s="25"/>
      <c r="G13" s="25">
        <f t="shared" si="1"/>
        <v>15967</v>
      </c>
      <c r="H13" s="25">
        <f t="shared" si="4"/>
        <v>89446</v>
      </c>
      <c r="I13" s="25">
        <f t="shared" si="2"/>
        <v>16895.499999999985</v>
      </c>
      <c r="J13" s="25">
        <f>AVERAGE(G12:G13)</f>
        <v>14361</v>
      </c>
      <c r="K13" s="30">
        <v>114</v>
      </c>
      <c r="L13" s="30">
        <v>117</v>
      </c>
      <c r="M13" s="29">
        <v>13</v>
      </c>
    </row>
    <row r="14" spans="1:13" ht="15" hidden="1">
      <c r="A14" s="7">
        <v>39448</v>
      </c>
      <c r="B14" s="25">
        <f t="shared" si="0"/>
        <v>17723.583333333332</v>
      </c>
      <c r="C14" s="25">
        <f t="shared" si="3"/>
        <v>124065.08333333331</v>
      </c>
      <c r="D14" s="25">
        <v>1023</v>
      </c>
      <c r="E14" s="25">
        <v>13090</v>
      </c>
      <c r="F14" s="25"/>
      <c r="G14" s="25">
        <f t="shared" si="1"/>
        <v>14113</v>
      </c>
      <c r="H14" s="25">
        <f t="shared" si="4"/>
        <v>103559</v>
      </c>
      <c r="I14" s="25">
        <f t="shared" si="2"/>
        <v>20506.083333333314</v>
      </c>
      <c r="J14" s="25">
        <f>AVERAGE(G12:G14)</f>
        <v>14278.333333333334</v>
      </c>
      <c r="K14" s="30">
        <v>136</v>
      </c>
      <c r="L14" s="30">
        <v>102</v>
      </c>
      <c r="M14" s="29">
        <v>20</v>
      </c>
    </row>
    <row r="15" spans="1:13" ht="15" hidden="1">
      <c r="A15" s="7">
        <v>39479</v>
      </c>
      <c r="B15" s="25">
        <f t="shared" si="0"/>
        <v>17723.583333333332</v>
      </c>
      <c r="C15" s="25">
        <f t="shared" si="3"/>
        <v>141788.66666666666</v>
      </c>
      <c r="D15" s="25">
        <v>1365</v>
      </c>
      <c r="E15" s="25">
        <v>10165</v>
      </c>
      <c r="F15" s="25"/>
      <c r="G15" s="25">
        <f t="shared" si="1"/>
        <v>11530</v>
      </c>
      <c r="H15" s="25">
        <f t="shared" si="4"/>
        <v>115089</v>
      </c>
      <c r="I15" s="25">
        <f t="shared" si="2"/>
        <v>26699.666666666657</v>
      </c>
      <c r="J15" s="25">
        <f>AVERAGE(G12:G15)</f>
        <v>13591.25</v>
      </c>
      <c r="K15" s="30">
        <v>150</v>
      </c>
      <c r="L15" s="30">
        <v>122</v>
      </c>
      <c r="M15" s="29">
        <v>23</v>
      </c>
    </row>
    <row r="16" spans="1:13" ht="15" hidden="1">
      <c r="A16" s="7">
        <v>39508</v>
      </c>
      <c r="B16" s="25">
        <f t="shared" si="0"/>
        <v>17723.583333333332</v>
      </c>
      <c r="C16" s="25">
        <f t="shared" si="3"/>
        <v>159512.25</v>
      </c>
      <c r="D16" s="25">
        <v>6005</v>
      </c>
      <c r="E16" s="25">
        <v>14019</v>
      </c>
      <c r="F16" s="25"/>
      <c r="G16" s="25">
        <f t="shared" si="1"/>
        <v>20024</v>
      </c>
      <c r="H16" s="25">
        <f t="shared" si="4"/>
        <v>135113</v>
      </c>
      <c r="I16" s="25">
        <f t="shared" si="2"/>
        <v>24399.25</v>
      </c>
      <c r="J16" s="25">
        <f>AVERAGE(G12:G16)</f>
        <v>14877.8</v>
      </c>
      <c r="K16" s="30">
        <v>169</v>
      </c>
      <c r="L16" s="30">
        <v>144</v>
      </c>
      <c r="M16" s="29">
        <v>28</v>
      </c>
    </row>
    <row r="17" spans="1:13" ht="15" hidden="1">
      <c r="A17" s="7">
        <v>39539</v>
      </c>
      <c r="B17" s="25">
        <f t="shared" si="0"/>
        <v>17723.583333333332</v>
      </c>
      <c r="C17" s="25">
        <f t="shared" si="3"/>
        <v>177235.83333333334</v>
      </c>
      <c r="D17" s="25">
        <v>2997</v>
      </c>
      <c r="E17" s="25">
        <v>20477</v>
      </c>
      <c r="F17" s="25"/>
      <c r="G17" s="25">
        <f t="shared" si="1"/>
        <v>23474</v>
      </c>
      <c r="H17" s="25">
        <f t="shared" si="4"/>
        <v>158587</v>
      </c>
      <c r="I17" s="25">
        <f t="shared" si="2"/>
        <v>18648.833333333343</v>
      </c>
      <c r="J17" s="25">
        <f>AVERAGE(G14:G17)</f>
        <v>17285.25</v>
      </c>
      <c r="K17" s="30">
        <v>180</v>
      </c>
      <c r="L17" s="30">
        <v>164</v>
      </c>
      <c r="M17" s="29">
        <v>37</v>
      </c>
    </row>
    <row r="18" spans="1:13" ht="15" hidden="1">
      <c r="A18" s="7">
        <v>39569</v>
      </c>
      <c r="B18" s="33">
        <f t="shared" si="0"/>
        <v>17723.583333333332</v>
      </c>
      <c r="C18" s="33">
        <f t="shared" si="3"/>
        <v>194959.4166666667</v>
      </c>
      <c r="D18" s="33">
        <v>1785</v>
      </c>
      <c r="E18" s="33">
        <v>14118</v>
      </c>
      <c r="F18" s="33"/>
      <c r="G18" s="25">
        <f t="shared" si="1"/>
        <v>15903</v>
      </c>
      <c r="H18" s="25">
        <f t="shared" si="4"/>
        <v>174490</v>
      </c>
      <c r="I18" s="25">
        <f t="shared" si="2"/>
        <v>20469.416666666686</v>
      </c>
      <c r="J18" s="25">
        <f>AVERAGE(G14:G18)</f>
        <v>17008.8</v>
      </c>
      <c r="K18" s="30">
        <v>184</v>
      </c>
      <c r="L18" s="30">
        <v>168</v>
      </c>
      <c r="M18" s="29">
        <v>36</v>
      </c>
    </row>
    <row r="19" spans="1:13" ht="15.75" hidden="1" thickBot="1">
      <c r="A19" s="7">
        <v>39600</v>
      </c>
      <c r="B19" s="34">
        <f t="shared" si="0"/>
        <v>17723.583333333332</v>
      </c>
      <c r="C19" s="34">
        <f t="shared" si="3"/>
        <v>212683.00000000003</v>
      </c>
      <c r="D19" s="34">
        <v>5589</v>
      </c>
      <c r="E19" s="34">
        <v>19227</v>
      </c>
      <c r="F19" s="34"/>
      <c r="G19" s="34">
        <f t="shared" si="1"/>
        <v>24816</v>
      </c>
      <c r="H19" s="34">
        <f t="shared" si="4"/>
        <v>199306</v>
      </c>
      <c r="I19" s="34">
        <f t="shared" si="2"/>
        <v>13377.00000000003</v>
      </c>
      <c r="J19" s="34">
        <f>AVERAGE(G15:G19)</f>
        <v>19149.4</v>
      </c>
      <c r="K19" s="35">
        <v>196</v>
      </c>
      <c r="L19" s="35">
        <v>159</v>
      </c>
      <c r="M19" s="36">
        <v>40</v>
      </c>
    </row>
    <row r="20" spans="1:13" ht="15" hidden="1">
      <c r="A20" s="7">
        <v>39630</v>
      </c>
      <c r="B20" s="37">
        <v>32714.4</v>
      </c>
      <c r="C20" s="33">
        <f>B20</f>
        <v>32714.4</v>
      </c>
      <c r="D20" s="33">
        <v>1791</v>
      </c>
      <c r="E20" s="33">
        <v>25684</v>
      </c>
      <c r="F20" s="33"/>
      <c r="G20" s="33">
        <f t="shared" si="1"/>
        <v>27475</v>
      </c>
      <c r="H20" s="33">
        <f>G20</f>
        <v>27475</v>
      </c>
      <c r="I20" s="33">
        <f t="shared" si="2"/>
        <v>5239.4000000000015</v>
      </c>
      <c r="J20" s="33">
        <f>H20</f>
        <v>27475</v>
      </c>
      <c r="K20" s="30">
        <v>184</v>
      </c>
      <c r="L20" s="30">
        <v>165</v>
      </c>
      <c r="M20" s="29">
        <v>53</v>
      </c>
    </row>
    <row r="21" spans="1:13" ht="15" hidden="1">
      <c r="A21" s="7">
        <v>39661</v>
      </c>
      <c r="B21" s="37">
        <v>32714.4</v>
      </c>
      <c r="C21" s="33">
        <f aca="true" t="shared" si="5" ref="C21:C31">C20+B21</f>
        <v>65428.8</v>
      </c>
      <c r="D21" s="33">
        <v>2608</v>
      </c>
      <c r="E21" s="33">
        <v>24451</v>
      </c>
      <c r="F21" s="33"/>
      <c r="G21" s="33">
        <f t="shared" si="1"/>
        <v>27059</v>
      </c>
      <c r="H21" s="33">
        <f aca="true" t="shared" si="6" ref="H21:H31">H20+G21</f>
        <v>54534</v>
      </c>
      <c r="I21" s="33">
        <f t="shared" si="2"/>
        <v>10894.800000000003</v>
      </c>
      <c r="J21" s="33">
        <f>H21/2</f>
        <v>27267</v>
      </c>
      <c r="K21" s="30">
        <v>187</v>
      </c>
      <c r="L21" s="30">
        <v>163</v>
      </c>
      <c r="M21" s="29">
        <v>55</v>
      </c>
    </row>
    <row r="22" spans="1:13" ht="15" hidden="1">
      <c r="A22" s="7">
        <v>39692</v>
      </c>
      <c r="B22" s="37">
        <v>32714.4</v>
      </c>
      <c r="C22" s="33">
        <f t="shared" si="5"/>
        <v>98143.20000000001</v>
      </c>
      <c r="D22" s="33">
        <v>2134</v>
      </c>
      <c r="E22" s="33">
        <v>25795</v>
      </c>
      <c r="F22" s="33"/>
      <c r="G22" s="33">
        <f t="shared" si="1"/>
        <v>27929</v>
      </c>
      <c r="H22" s="33">
        <f t="shared" si="6"/>
        <v>82463</v>
      </c>
      <c r="I22" s="33">
        <f t="shared" si="2"/>
        <v>15680.200000000012</v>
      </c>
      <c r="J22" s="33">
        <f>H22/3</f>
        <v>27487.666666666668</v>
      </c>
      <c r="K22" s="30">
        <v>191</v>
      </c>
      <c r="L22" s="30">
        <v>170</v>
      </c>
      <c r="M22" s="29">
        <v>59</v>
      </c>
    </row>
    <row r="23" spans="1:13" ht="15" hidden="1">
      <c r="A23" s="7">
        <v>39722</v>
      </c>
      <c r="B23" s="37">
        <v>32714.4</v>
      </c>
      <c r="C23" s="33">
        <f t="shared" si="5"/>
        <v>130857.6</v>
      </c>
      <c r="D23" s="33">
        <v>2771</v>
      </c>
      <c r="E23" s="33">
        <v>19857</v>
      </c>
      <c r="F23" s="33"/>
      <c r="G23" s="33">
        <f t="shared" si="1"/>
        <v>22628</v>
      </c>
      <c r="H23" s="33">
        <f t="shared" si="6"/>
        <v>105091</v>
      </c>
      <c r="I23" s="33">
        <f t="shared" si="2"/>
        <v>25766.600000000006</v>
      </c>
      <c r="J23" s="33">
        <f>H23/4</f>
        <v>26272.75</v>
      </c>
      <c r="K23" s="30">
        <v>188</v>
      </c>
      <c r="L23" s="30">
        <v>190</v>
      </c>
      <c r="M23" s="29">
        <v>60</v>
      </c>
    </row>
    <row r="24" spans="1:13" ht="15" hidden="1">
      <c r="A24" s="7">
        <v>39753</v>
      </c>
      <c r="B24" s="37">
        <v>32714.4</v>
      </c>
      <c r="C24" s="33">
        <f t="shared" si="5"/>
        <v>163572</v>
      </c>
      <c r="D24" s="33">
        <v>1783</v>
      </c>
      <c r="E24" s="33">
        <v>18886</v>
      </c>
      <c r="F24" s="33"/>
      <c r="G24" s="33">
        <f t="shared" si="1"/>
        <v>20669</v>
      </c>
      <c r="H24" s="33">
        <f t="shared" si="6"/>
        <v>125760</v>
      </c>
      <c r="I24" s="33">
        <f t="shared" si="2"/>
        <v>37812</v>
      </c>
      <c r="J24" s="33">
        <f>H24/5</f>
        <v>25152</v>
      </c>
      <c r="K24" s="30">
        <v>187</v>
      </c>
      <c r="L24" s="30">
        <v>187</v>
      </c>
      <c r="M24" s="29">
        <v>60</v>
      </c>
    </row>
    <row r="25" spans="1:13" ht="15" hidden="1">
      <c r="A25" s="7">
        <v>39783</v>
      </c>
      <c r="B25" s="38">
        <v>34958.28571428572</v>
      </c>
      <c r="C25" s="33">
        <f t="shared" si="5"/>
        <v>198530.2857142857</v>
      </c>
      <c r="D25" s="33">
        <v>6183</v>
      </c>
      <c r="E25" s="33">
        <v>25568</v>
      </c>
      <c r="F25" s="33"/>
      <c r="G25" s="33">
        <f t="shared" si="1"/>
        <v>31751</v>
      </c>
      <c r="H25" s="33">
        <f t="shared" si="6"/>
        <v>157511</v>
      </c>
      <c r="I25" s="33">
        <f t="shared" si="2"/>
        <v>41019.28571428571</v>
      </c>
      <c r="J25" s="33">
        <f>H25/6</f>
        <v>26251.833333333332</v>
      </c>
      <c r="K25" s="30">
        <v>197</v>
      </c>
      <c r="L25" s="30">
        <v>184</v>
      </c>
      <c r="M25" s="29">
        <v>52</v>
      </c>
    </row>
    <row r="26" spans="1:13" ht="15" hidden="1">
      <c r="A26" s="7">
        <v>39814</v>
      </c>
      <c r="B26" s="38">
        <v>34958.28571428572</v>
      </c>
      <c r="C26" s="33">
        <f t="shared" si="5"/>
        <v>233488.57142857142</v>
      </c>
      <c r="D26" s="33">
        <v>5275</v>
      </c>
      <c r="E26" s="33">
        <v>19297</v>
      </c>
      <c r="F26" s="33"/>
      <c r="G26" s="33">
        <f t="shared" si="1"/>
        <v>24572</v>
      </c>
      <c r="H26" s="33">
        <f t="shared" si="6"/>
        <v>182083</v>
      </c>
      <c r="I26" s="33">
        <f t="shared" si="2"/>
        <v>51405.57142857142</v>
      </c>
      <c r="J26" s="33">
        <f>H26/7</f>
        <v>26011.85714285714</v>
      </c>
      <c r="K26" s="30">
        <v>218</v>
      </c>
      <c r="L26" s="30">
        <v>186</v>
      </c>
      <c r="M26" s="29">
        <v>50</v>
      </c>
    </row>
    <row r="27" spans="1:13" ht="15" hidden="1">
      <c r="A27" s="7">
        <v>39845</v>
      </c>
      <c r="B27" s="38">
        <v>34958.28571428572</v>
      </c>
      <c r="C27" s="33">
        <f t="shared" si="5"/>
        <v>268446.85714285716</v>
      </c>
      <c r="D27" s="33">
        <v>4283</v>
      </c>
      <c r="E27" s="33">
        <v>15587</v>
      </c>
      <c r="F27" s="33"/>
      <c r="G27" s="33">
        <f t="shared" si="1"/>
        <v>19870</v>
      </c>
      <c r="H27" s="33">
        <f t="shared" si="6"/>
        <v>201953</v>
      </c>
      <c r="I27" s="33">
        <f t="shared" si="2"/>
        <v>66493.85714285716</v>
      </c>
      <c r="J27" s="33">
        <f>H27/8</f>
        <v>25244.125</v>
      </c>
      <c r="K27" s="30">
        <v>236</v>
      </c>
      <c r="L27" s="30">
        <v>185</v>
      </c>
      <c r="M27" s="29">
        <v>45</v>
      </c>
    </row>
    <row r="28" spans="1:13" ht="15" hidden="1">
      <c r="A28" s="7">
        <v>39873</v>
      </c>
      <c r="B28" s="38">
        <v>34958.28571428572</v>
      </c>
      <c r="C28" s="33">
        <f t="shared" si="5"/>
        <v>303405.1428571429</v>
      </c>
      <c r="D28" s="33">
        <v>2654</v>
      </c>
      <c r="E28" s="33">
        <v>27391</v>
      </c>
      <c r="F28" s="33"/>
      <c r="G28" s="33">
        <f t="shared" si="1"/>
        <v>30045</v>
      </c>
      <c r="H28" s="33">
        <f t="shared" si="6"/>
        <v>231998</v>
      </c>
      <c r="I28" s="33">
        <f t="shared" si="2"/>
        <v>71407.1428571429</v>
      </c>
      <c r="J28" s="33">
        <f>H28/9</f>
        <v>25777.555555555555</v>
      </c>
      <c r="K28" s="30">
        <v>251</v>
      </c>
      <c r="L28" s="30">
        <v>198</v>
      </c>
      <c r="M28" s="4">
        <v>42</v>
      </c>
    </row>
    <row r="29" spans="1:13" ht="15" hidden="1">
      <c r="A29" s="7">
        <v>39904</v>
      </c>
      <c r="B29" s="38">
        <v>34958.28571428572</v>
      </c>
      <c r="C29" s="33">
        <f t="shared" si="5"/>
        <v>338363.42857142864</v>
      </c>
      <c r="D29" s="33">
        <v>7514</v>
      </c>
      <c r="E29" s="33">
        <v>22611</v>
      </c>
      <c r="F29" s="33"/>
      <c r="G29" s="33">
        <f t="shared" si="1"/>
        <v>30125</v>
      </c>
      <c r="H29" s="33">
        <f t="shared" si="6"/>
        <v>262123</v>
      </c>
      <c r="I29" s="33">
        <f t="shared" si="2"/>
        <v>76240.42857142864</v>
      </c>
      <c r="J29" s="33">
        <f>H29/10</f>
        <v>26212.3</v>
      </c>
      <c r="K29" s="30">
        <v>259</v>
      </c>
      <c r="L29" s="30">
        <v>202</v>
      </c>
      <c r="M29" s="4">
        <v>44</v>
      </c>
    </row>
    <row r="30" spans="1:13" ht="15" hidden="1">
      <c r="A30" s="7">
        <v>39934</v>
      </c>
      <c r="B30" s="38">
        <v>34958.28571428572</v>
      </c>
      <c r="C30" s="33">
        <f t="shared" si="5"/>
        <v>373321.7142857144</v>
      </c>
      <c r="D30" s="33">
        <v>1348</v>
      </c>
      <c r="E30" s="33">
        <v>25121</v>
      </c>
      <c r="F30" s="33"/>
      <c r="G30" s="33">
        <f t="shared" si="1"/>
        <v>26469</v>
      </c>
      <c r="H30" s="33">
        <f t="shared" si="6"/>
        <v>288592</v>
      </c>
      <c r="I30" s="33">
        <f t="shared" si="2"/>
        <v>84729.71428571438</v>
      </c>
      <c r="J30" s="33">
        <f>H30/11</f>
        <v>26235.636363636364</v>
      </c>
      <c r="K30" s="30">
        <v>253</v>
      </c>
      <c r="L30" s="30">
        <v>180</v>
      </c>
      <c r="M30" s="4">
        <v>41</v>
      </c>
    </row>
    <row r="31" spans="1:13" ht="15.75" hidden="1" thickBot="1">
      <c r="A31" s="7">
        <v>39965</v>
      </c>
      <c r="B31" s="39">
        <v>34958.28571428572</v>
      </c>
      <c r="C31" s="34">
        <f t="shared" si="5"/>
        <v>408280.0000000001</v>
      </c>
      <c r="D31" s="34">
        <v>368</v>
      </c>
      <c r="E31" s="34">
        <v>22299</v>
      </c>
      <c r="F31" s="34"/>
      <c r="G31" s="34">
        <f t="shared" si="1"/>
        <v>22667</v>
      </c>
      <c r="H31" s="34">
        <f t="shared" si="6"/>
        <v>311259</v>
      </c>
      <c r="I31" s="34">
        <f t="shared" si="2"/>
        <v>97021.00000000012</v>
      </c>
      <c r="J31" s="34">
        <f>H31/12</f>
        <v>25938.25</v>
      </c>
      <c r="K31" s="40">
        <v>235</v>
      </c>
      <c r="L31" s="40">
        <v>178</v>
      </c>
      <c r="M31" s="41">
        <v>46</v>
      </c>
    </row>
    <row r="32" spans="1:13" ht="18" hidden="1">
      <c r="A32" s="7">
        <v>40725</v>
      </c>
      <c r="B32" s="37">
        <f aca="true" t="shared" si="7" ref="B32:B43">$B$85/12</f>
        <v>10030.333333333334</v>
      </c>
      <c r="C32" s="33">
        <f>B32</f>
        <v>10030.333333333334</v>
      </c>
      <c r="D32" s="33">
        <v>0</v>
      </c>
      <c r="E32" s="33">
        <v>6120</v>
      </c>
      <c r="F32" s="33">
        <v>0</v>
      </c>
      <c r="G32" s="33">
        <f aca="true" t="shared" si="8" ref="G32:G74">D32+E32+F32</f>
        <v>6120</v>
      </c>
      <c r="H32" s="33">
        <f>G32</f>
        <v>6120</v>
      </c>
      <c r="I32" s="33">
        <f t="shared" si="2"/>
        <v>3910.333333333334</v>
      </c>
      <c r="J32" s="11">
        <f>H32</f>
        <v>6120</v>
      </c>
      <c r="K32" s="42">
        <v>485</v>
      </c>
      <c r="L32" s="42">
        <v>128</v>
      </c>
      <c r="M32" s="43">
        <v>46</v>
      </c>
    </row>
    <row r="33" spans="1:13" ht="18" hidden="1">
      <c r="A33" s="7">
        <v>40756</v>
      </c>
      <c r="B33" s="37">
        <f t="shared" si="7"/>
        <v>10030.333333333334</v>
      </c>
      <c r="C33" s="33">
        <f aca="true" t="shared" si="9" ref="C33:C43">C32+B33</f>
        <v>20060.666666666668</v>
      </c>
      <c r="D33" s="33">
        <v>0</v>
      </c>
      <c r="E33" s="33">
        <v>4592</v>
      </c>
      <c r="F33" s="33">
        <v>0</v>
      </c>
      <c r="G33" s="33">
        <f t="shared" si="8"/>
        <v>4592</v>
      </c>
      <c r="H33" s="33">
        <f aca="true" t="shared" si="10" ref="H33:H43">H32+G33</f>
        <v>10712</v>
      </c>
      <c r="I33" s="33">
        <f t="shared" si="2"/>
        <v>9348.666666666668</v>
      </c>
      <c r="J33" s="11">
        <f>H33/2</f>
        <v>5356</v>
      </c>
      <c r="K33" s="42">
        <v>434</v>
      </c>
      <c r="L33" s="42">
        <v>162</v>
      </c>
      <c r="M33" s="43">
        <v>53</v>
      </c>
    </row>
    <row r="34" spans="1:13" ht="18" hidden="1">
      <c r="A34" s="7">
        <v>40787</v>
      </c>
      <c r="B34" s="37">
        <f t="shared" si="7"/>
        <v>10030.333333333334</v>
      </c>
      <c r="C34" s="33">
        <f t="shared" si="9"/>
        <v>30091</v>
      </c>
      <c r="D34" s="33">
        <v>0</v>
      </c>
      <c r="E34" s="33">
        <v>1592</v>
      </c>
      <c r="F34" s="33">
        <v>0</v>
      </c>
      <c r="G34" s="33">
        <f t="shared" si="8"/>
        <v>1592</v>
      </c>
      <c r="H34" s="33">
        <f t="shared" si="10"/>
        <v>12304</v>
      </c>
      <c r="I34" s="33">
        <f t="shared" si="2"/>
        <v>17787</v>
      </c>
      <c r="J34" s="11">
        <f>H34/3</f>
        <v>4101.333333333333</v>
      </c>
      <c r="K34" s="42">
        <v>436</v>
      </c>
      <c r="L34" s="42">
        <v>149</v>
      </c>
      <c r="M34" s="43">
        <v>53</v>
      </c>
    </row>
    <row r="35" spans="1:13" ht="18" hidden="1">
      <c r="A35" s="7">
        <v>40817</v>
      </c>
      <c r="B35" s="37">
        <f t="shared" si="7"/>
        <v>10030.333333333334</v>
      </c>
      <c r="C35" s="33">
        <f t="shared" si="9"/>
        <v>40121.333333333336</v>
      </c>
      <c r="D35" s="33">
        <v>0</v>
      </c>
      <c r="E35" s="33">
        <v>2001</v>
      </c>
      <c r="F35" s="33">
        <v>0</v>
      </c>
      <c r="G35" s="33">
        <f t="shared" si="8"/>
        <v>2001</v>
      </c>
      <c r="H35" s="33">
        <f t="shared" si="10"/>
        <v>14305</v>
      </c>
      <c r="I35" s="33">
        <f t="shared" si="2"/>
        <v>25816.333333333336</v>
      </c>
      <c r="J35" s="11">
        <f>H35/4</f>
        <v>3576.25</v>
      </c>
      <c r="K35" s="42">
        <v>510</v>
      </c>
      <c r="L35" s="42">
        <v>181</v>
      </c>
      <c r="M35" s="43">
        <v>58</v>
      </c>
    </row>
    <row r="36" spans="1:13" ht="18" hidden="1">
      <c r="A36" s="7">
        <v>40848</v>
      </c>
      <c r="B36" s="37">
        <f t="shared" si="7"/>
        <v>10030.333333333334</v>
      </c>
      <c r="C36" s="33">
        <f t="shared" si="9"/>
        <v>50151.66666666667</v>
      </c>
      <c r="D36" s="33">
        <v>0</v>
      </c>
      <c r="E36" s="33">
        <v>2402</v>
      </c>
      <c r="F36" s="33">
        <v>0</v>
      </c>
      <c r="G36" s="33">
        <f t="shared" si="8"/>
        <v>2402</v>
      </c>
      <c r="H36" s="33">
        <f t="shared" si="10"/>
        <v>16707</v>
      </c>
      <c r="I36" s="33">
        <f t="shared" si="2"/>
        <v>33444.66666666667</v>
      </c>
      <c r="J36" s="11">
        <f>H36/5</f>
        <v>3341.4</v>
      </c>
      <c r="K36" s="42">
        <v>519</v>
      </c>
      <c r="L36" s="42">
        <v>182</v>
      </c>
      <c r="M36" s="43">
        <v>52</v>
      </c>
    </row>
    <row r="37" spans="1:13" ht="18" hidden="1">
      <c r="A37" s="7">
        <v>40878</v>
      </c>
      <c r="B37" s="37">
        <f t="shared" si="7"/>
        <v>10030.333333333334</v>
      </c>
      <c r="C37" s="33">
        <f t="shared" si="9"/>
        <v>60182.00000000001</v>
      </c>
      <c r="D37" s="33">
        <v>0</v>
      </c>
      <c r="E37" s="33">
        <v>2435</v>
      </c>
      <c r="F37" s="33">
        <v>0</v>
      </c>
      <c r="G37" s="33">
        <f t="shared" si="8"/>
        <v>2435</v>
      </c>
      <c r="H37" s="33">
        <f t="shared" si="10"/>
        <v>19142</v>
      </c>
      <c r="I37" s="33">
        <f t="shared" si="2"/>
        <v>41040.00000000001</v>
      </c>
      <c r="J37" s="11">
        <f>H37/6</f>
        <v>3190.3333333333335</v>
      </c>
      <c r="K37" s="42">
        <v>501</v>
      </c>
      <c r="L37" s="42">
        <v>199</v>
      </c>
      <c r="M37" s="43">
        <v>51</v>
      </c>
    </row>
    <row r="38" spans="1:13" ht="18" hidden="1">
      <c r="A38" s="7">
        <v>40909</v>
      </c>
      <c r="B38" s="37">
        <f t="shared" si="7"/>
        <v>10030.333333333334</v>
      </c>
      <c r="C38" s="33">
        <f t="shared" si="9"/>
        <v>70212.33333333334</v>
      </c>
      <c r="D38" s="33">
        <v>0</v>
      </c>
      <c r="E38" s="33">
        <v>3214</v>
      </c>
      <c r="F38" s="33">
        <v>0</v>
      </c>
      <c r="G38" s="33">
        <f t="shared" si="8"/>
        <v>3214</v>
      </c>
      <c r="H38" s="33">
        <f t="shared" si="10"/>
        <v>22356</v>
      </c>
      <c r="I38" s="33">
        <f t="shared" si="2"/>
        <v>47856.33333333334</v>
      </c>
      <c r="J38" s="11">
        <f>H38/7</f>
        <v>3193.714285714286</v>
      </c>
      <c r="K38" s="42">
        <v>553</v>
      </c>
      <c r="L38" s="42">
        <v>202</v>
      </c>
      <c r="M38" s="43">
        <v>45</v>
      </c>
    </row>
    <row r="39" spans="1:13" ht="18" hidden="1">
      <c r="A39" s="7">
        <v>40940</v>
      </c>
      <c r="B39" s="37">
        <f t="shared" si="7"/>
        <v>10030.333333333334</v>
      </c>
      <c r="C39" s="33">
        <f t="shared" si="9"/>
        <v>80242.66666666667</v>
      </c>
      <c r="D39" s="33">
        <v>0</v>
      </c>
      <c r="E39" s="33">
        <v>2185</v>
      </c>
      <c r="F39" s="33">
        <v>0</v>
      </c>
      <c r="G39" s="33">
        <f t="shared" si="8"/>
        <v>2185</v>
      </c>
      <c r="H39" s="33">
        <f t="shared" si="10"/>
        <v>24541</v>
      </c>
      <c r="I39" s="33">
        <f t="shared" si="2"/>
        <v>55701.66666666667</v>
      </c>
      <c r="J39" s="11">
        <f>H39/8</f>
        <v>3067.625</v>
      </c>
      <c r="K39" s="42">
        <v>521</v>
      </c>
      <c r="L39" s="42">
        <v>187</v>
      </c>
      <c r="M39" s="43">
        <v>45</v>
      </c>
    </row>
    <row r="40" spans="1:13" ht="18" hidden="1">
      <c r="A40" s="7">
        <v>40969</v>
      </c>
      <c r="B40" s="37">
        <f t="shared" si="7"/>
        <v>10030.333333333334</v>
      </c>
      <c r="C40" s="33">
        <f t="shared" si="9"/>
        <v>90273</v>
      </c>
      <c r="D40" s="33">
        <v>0</v>
      </c>
      <c r="E40" s="33">
        <v>3748</v>
      </c>
      <c r="F40" s="33">
        <v>0</v>
      </c>
      <c r="G40" s="33">
        <f t="shared" si="8"/>
        <v>3748</v>
      </c>
      <c r="H40" s="33">
        <f t="shared" si="10"/>
        <v>28289</v>
      </c>
      <c r="I40" s="33">
        <f aca="true" t="shared" si="11" ref="I40:I59">C40-H40</f>
        <v>61984</v>
      </c>
      <c r="J40" s="11">
        <f>H40/9</f>
        <v>3143.222222222222</v>
      </c>
      <c r="K40" s="42">
        <v>523</v>
      </c>
      <c r="L40" s="42">
        <v>205</v>
      </c>
      <c r="M40" s="43">
        <v>46</v>
      </c>
    </row>
    <row r="41" spans="1:13" ht="18" hidden="1">
      <c r="A41" s="7">
        <v>41000</v>
      </c>
      <c r="B41" s="37">
        <f t="shared" si="7"/>
        <v>10030.333333333334</v>
      </c>
      <c r="C41" s="33">
        <f t="shared" si="9"/>
        <v>100303.33333333333</v>
      </c>
      <c r="D41" s="33">
        <v>0</v>
      </c>
      <c r="E41" s="33">
        <v>4508</v>
      </c>
      <c r="F41" s="33">
        <v>0</v>
      </c>
      <c r="G41" s="33">
        <f t="shared" si="8"/>
        <v>4508</v>
      </c>
      <c r="H41" s="33">
        <f t="shared" si="10"/>
        <v>32797</v>
      </c>
      <c r="I41" s="33">
        <f t="shared" si="11"/>
        <v>67506.33333333333</v>
      </c>
      <c r="J41" s="11">
        <f>H41/10</f>
        <v>3279.7</v>
      </c>
      <c r="K41" s="42">
        <v>580</v>
      </c>
      <c r="L41" s="42">
        <v>180</v>
      </c>
      <c r="M41" s="43">
        <v>42</v>
      </c>
    </row>
    <row r="42" spans="1:13" ht="18" hidden="1">
      <c r="A42" s="7">
        <v>41030</v>
      </c>
      <c r="B42" s="37">
        <f t="shared" si="7"/>
        <v>10030.333333333334</v>
      </c>
      <c r="C42" s="33">
        <f t="shared" si="9"/>
        <v>110333.66666666666</v>
      </c>
      <c r="D42" s="33">
        <v>0</v>
      </c>
      <c r="E42" s="33">
        <v>3997</v>
      </c>
      <c r="F42" s="33">
        <v>0</v>
      </c>
      <c r="G42" s="33">
        <f t="shared" si="8"/>
        <v>3997</v>
      </c>
      <c r="H42" s="33">
        <f t="shared" si="10"/>
        <v>36794</v>
      </c>
      <c r="I42" s="33">
        <f t="shared" si="11"/>
        <v>73539.66666666666</v>
      </c>
      <c r="J42" s="11">
        <f>H42/11</f>
        <v>3344.909090909091</v>
      </c>
      <c r="K42" s="42">
        <v>484</v>
      </c>
      <c r="L42" s="42">
        <v>147</v>
      </c>
      <c r="M42" s="43">
        <v>0</v>
      </c>
    </row>
    <row r="43" spans="1:13" ht="18.75" hidden="1" thickBot="1">
      <c r="A43" s="7">
        <v>41061</v>
      </c>
      <c r="B43" s="39">
        <f t="shared" si="7"/>
        <v>10030.333333333334</v>
      </c>
      <c r="C43" s="34">
        <f t="shared" si="9"/>
        <v>120363.99999999999</v>
      </c>
      <c r="D43" s="34">
        <v>0</v>
      </c>
      <c r="E43" s="34">
        <v>5633</v>
      </c>
      <c r="F43" s="34">
        <v>0</v>
      </c>
      <c r="G43" s="34">
        <f t="shared" si="8"/>
        <v>5633</v>
      </c>
      <c r="H43" s="34">
        <f t="shared" si="10"/>
        <v>42427</v>
      </c>
      <c r="I43" s="34">
        <f t="shared" si="11"/>
        <v>77936.99999999999</v>
      </c>
      <c r="J43" s="12">
        <f>H43/12</f>
        <v>3535.5833333333335</v>
      </c>
      <c r="K43" s="40">
        <v>475</v>
      </c>
      <c r="L43" s="40">
        <v>155</v>
      </c>
      <c r="M43" s="41">
        <v>0</v>
      </c>
    </row>
    <row r="44" spans="1:13" ht="15" hidden="1">
      <c r="A44" s="7">
        <v>41091</v>
      </c>
      <c r="B44" s="37">
        <f aca="true" t="shared" si="12" ref="B44:B55">$B$86/12</f>
        <v>15850.166666666666</v>
      </c>
      <c r="C44" s="33">
        <f>B44</f>
        <v>15850.166666666666</v>
      </c>
      <c r="D44" s="33">
        <v>0</v>
      </c>
      <c r="E44" s="33">
        <v>6752</v>
      </c>
      <c r="F44" s="33">
        <v>0</v>
      </c>
      <c r="G44" s="33">
        <f t="shared" si="8"/>
        <v>6752</v>
      </c>
      <c r="H44" s="33">
        <f>G44</f>
        <v>6752</v>
      </c>
      <c r="I44" s="33">
        <f t="shared" si="11"/>
        <v>9098.166666666666</v>
      </c>
      <c r="J44" s="33">
        <f>H44/1</f>
        <v>6752</v>
      </c>
      <c r="K44" s="42">
        <v>459</v>
      </c>
      <c r="L44" s="42">
        <v>128</v>
      </c>
      <c r="M44" s="43"/>
    </row>
    <row r="45" spans="1:13" ht="15" hidden="1">
      <c r="A45" s="7">
        <v>41122</v>
      </c>
      <c r="B45" s="37">
        <f t="shared" si="12"/>
        <v>15850.166666666666</v>
      </c>
      <c r="C45" s="33">
        <f aca="true" t="shared" si="13" ref="C45:C55">C44+B45</f>
        <v>31700.333333333332</v>
      </c>
      <c r="D45" s="33">
        <v>0</v>
      </c>
      <c r="E45" s="33">
        <v>8398</v>
      </c>
      <c r="F45" s="33">
        <v>0</v>
      </c>
      <c r="G45" s="33">
        <f t="shared" si="8"/>
        <v>8398</v>
      </c>
      <c r="H45" s="33">
        <f aca="true" t="shared" si="14" ref="H45:H55">H44+G45</f>
        <v>15150</v>
      </c>
      <c r="I45" s="33">
        <f t="shared" si="11"/>
        <v>16550.333333333332</v>
      </c>
      <c r="J45" s="33">
        <f>H45/2</f>
        <v>7575</v>
      </c>
      <c r="K45" s="42">
        <v>487</v>
      </c>
      <c r="L45" s="42">
        <v>142</v>
      </c>
      <c r="M45" s="43"/>
    </row>
    <row r="46" spans="1:13" ht="15" hidden="1">
      <c r="A46" s="7">
        <v>41153</v>
      </c>
      <c r="B46" s="37">
        <f t="shared" si="12"/>
        <v>15850.166666666666</v>
      </c>
      <c r="C46" s="33">
        <f t="shared" si="13"/>
        <v>47550.5</v>
      </c>
      <c r="D46" s="33">
        <v>0</v>
      </c>
      <c r="E46" s="33">
        <v>5767</v>
      </c>
      <c r="F46" s="33">
        <v>0</v>
      </c>
      <c r="G46" s="33">
        <f t="shared" si="8"/>
        <v>5767</v>
      </c>
      <c r="H46" s="33">
        <f t="shared" si="14"/>
        <v>20917</v>
      </c>
      <c r="I46" s="33">
        <f t="shared" si="11"/>
        <v>26633.5</v>
      </c>
      <c r="J46" s="33">
        <f>H46/3</f>
        <v>6972.333333333333</v>
      </c>
      <c r="K46" s="42">
        <v>464</v>
      </c>
      <c r="L46" s="42">
        <v>165</v>
      </c>
      <c r="M46" s="43"/>
    </row>
    <row r="47" spans="1:13" ht="15" hidden="1">
      <c r="A47" s="7">
        <v>41183</v>
      </c>
      <c r="B47" s="37">
        <f t="shared" si="12"/>
        <v>15850.166666666666</v>
      </c>
      <c r="C47" s="33">
        <f t="shared" si="13"/>
        <v>63400.666666666664</v>
      </c>
      <c r="D47" s="33">
        <v>0</v>
      </c>
      <c r="E47" s="33">
        <v>7344</v>
      </c>
      <c r="F47" s="33">
        <v>0</v>
      </c>
      <c r="G47" s="33">
        <f t="shared" si="8"/>
        <v>7344</v>
      </c>
      <c r="H47" s="33">
        <f t="shared" si="14"/>
        <v>28261</v>
      </c>
      <c r="I47" s="33">
        <f t="shared" si="11"/>
        <v>35139.666666666664</v>
      </c>
      <c r="J47" s="33">
        <f>H47/4</f>
        <v>7065.25</v>
      </c>
      <c r="K47" s="42">
        <v>486</v>
      </c>
      <c r="L47" s="42">
        <v>157</v>
      </c>
      <c r="M47" s="43"/>
    </row>
    <row r="48" spans="1:13" ht="15" hidden="1">
      <c r="A48" s="7">
        <v>41214</v>
      </c>
      <c r="B48" s="37">
        <f t="shared" si="12"/>
        <v>15850.166666666666</v>
      </c>
      <c r="C48" s="33">
        <f t="shared" si="13"/>
        <v>79250.83333333333</v>
      </c>
      <c r="D48" s="33">
        <v>0</v>
      </c>
      <c r="E48" s="33">
        <v>9912</v>
      </c>
      <c r="F48" s="33">
        <v>0</v>
      </c>
      <c r="G48" s="33">
        <f t="shared" si="8"/>
        <v>9912</v>
      </c>
      <c r="H48" s="33">
        <f t="shared" si="14"/>
        <v>38173</v>
      </c>
      <c r="I48" s="33">
        <f t="shared" si="11"/>
        <v>41077.83333333333</v>
      </c>
      <c r="J48" s="33">
        <f>H48/5</f>
        <v>7634.6</v>
      </c>
      <c r="K48" s="42">
        <v>503</v>
      </c>
      <c r="L48" s="42">
        <v>162</v>
      </c>
      <c r="M48" s="43"/>
    </row>
    <row r="49" spans="1:13" ht="15" hidden="1">
      <c r="A49" s="7">
        <v>41244</v>
      </c>
      <c r="B49" s="37">
        <f t="shared" si="12"/>
        <v>15850.166666666666</v>
      </c>
      <c r="C49" s="33">
        <f t="shared" si="13"/>
        <v>95101</v>
      </c>
      <c r="D49" s="33">
        <v>0</v>
      </c>
      <c r="E49" s="33">
        <v>13650</v>
      </c>
      <c r="F49" s="33">
        <v>0</v>
      </c>
      <c r="G49" s="33">
        <f t="shared" si="8"/>
        <v>13650</v>
      </c>
      <c r="H49" s="33">
        <f t="shared" si="14"/>
        <v>51823</v>
      </c>
      <c r="I49" s="33">
        <f t="shared" si="11"/>
        <v>43278</v>
      </c>
      <c r="J49" s="33">
        <f>H49/6</f>
        <v>8637.166666666666</v>
      </c>
      <c r="K49" s="42"/>
      <c r="L49" s="42"/>
      <c r="M49" s="43"/>
    </row>
    <row r="50" spans="1:13" ht="15" hidden="1">
      <c r="A50" s="7">
        <v>41275</v>
      </c>
      <c r="B50" s="37">
        <f t="shared" si="12"/>
        <v>15850.166666666666</v>
      </c>
      <c r="C50" s="33">
        <f t="shared" si="13"/>
        <v>110951.16666666667</v>
      </c>
      <c r="D50" s="33">
        <v>0</v>
      </c>
      <c r="E50" s="33">
        <v>11853</v>
      </c>
      <c r="F50" s="33">
        <v>0</v>
      </c>
      <c r="G50" s="33">
        <f t="shared" si="8"/>
        <v>11853</v>
      </c>
      <c r="H50" s="33">
        <f t="shared" si="14"/>
        <v>63676</v>
      </c>
      <c r="I50" s="33">
        <f t="shared" si="11"/>
        <v>47275.16666666667</v>
      </c>
      <c r="J50" s="33">
        <f>H50/7</f>
        <v>9096.57142857143</v>
      </c>
      <c r="K50" s="42"/>
      <c r="L50" s="42"/>
      <c r="M50" s="43"/>
    </row>
    <row r="51" spans="1:13" ht="15" hidden="1">
      <c r="A51" s="7">
        <v>41306</v>
      </c>
      <c r="B51" s="37">
        <f t="shared" si="12"/>
        <v>15850.166666666666</v>
      </c>
      <c r="C51" s="33">
        <f t="shared" si="13"/>
        <v>126801.33333333334</v>
      </c>
      <c r="D51" s="33">
        <v>0</v>
      </c>
      <c r="E51" s="33">
        <v>14043</v>
      </c>
      <c r="F51" s="33">
        <v>0</v>
      </c>
      <c r="G51" s="33">
        <f t="shared" si="8"/>
        <v>14043</v>
      </c>
      <c r="H51" s="33">
        <f t="shared" si="14"/>
        <v>77719</v>
      </c>
      <c r="I51" s="33">
        <f t="shared" si="11"/>
        <v>49082.33333333334</v>
      </c>
      <c r="J51" s="33">
        <f>H51/8</f>
        <v>9714.875</v>
      </c>
      <c r="K51" s="42"/>
      <c r="L51" s="42"/>
      <c r="M51" s="43"/>
    </row>
    <row r="52" spans="1:13" ht="15" hidden="1">
      <c r="A52" s="7">
        <v>41334</v>
      </c>
      <c r="B52" s="37">
        <f t="shared" si="12"/>
        <v>15850.166666666666</v>
      </c>
      <c r="C52" s="33">
        <f t="shared" si="13"/>
        <v>142651.5</v>
      </c>
      <c r="D52" s="33">
        <v>0</v>
      </c>
      <c r="E52" s="33">
        <v>14653</v>
      </c>
      <c r="F52" s="33">
        <v>0</v>
      </c>
      <c r="G52" s="33">
        <f t="shared" si="8"/>
        <v>14653</v>
      </c>
      <c r="H52" s="33">
        <f t="shared" si="14"/>
        <v>92372</v>
      </c>
      <c r="I52" s="33">
        <f t="shared" si="11"/>
        <v>50279.5</v>
      </c>
      <c r="J52" s="33">
        <f>H52/9</f>
        <v>10263.555555555555</v>
      </c>
      <c r="K52" s="42"/>
      <c r="L52" s="42"/>
      <c r="M52" s="43"/>
    </row>
    <row r="53" spans="1:13" ht="15" hidden="1">
      <c r="A53" s="7">
        <v>41365</v>
      </c>
      <c r="B53" s="37">
        <f t="shared" si="12"/>
        <v>15850.166666666666</v>
      </c>
      <c r="C53" s="33">
        <f t="shared" si="13"/>
        <v>158501.66666666666</v>
      </c>
      <c r="D53" s="33">
        <v>0</v>
      </c>
      <c r="E53" s="33">
        <v>18467</v>
      </c>
      <c r="F53" s="33">
        <v>0</v>
      </c>
      <c r="G53" s="33">
        <f t="shared" si="8"/>
        <v>18467</v>
      </c>
      <c r="H53" s="33">
        <f t="shared" si="14"/>
        <v>110839</v>
      </c>
      <c r="I53" s="33">
        <f t="shared" si="11"/>
        <v>47662.66666666666</v>
      </c>
      <c r="J53" s="33">
        <f>H53/10</f>
        <v>11083.9</v>
      </c>
      <c r="K53" s="42"/>
      <c r="L53" s="42"/>
      <c r="M53" s="43"/>
    </row>
    <row r="54" spans="1:13" ht="15" hidden="1">
      <c r="A54" s="7">
        <v>41395</v>
      </c>
      <c r="B54" s="37">
        <f t="shared" si="12"/>
        <v>15850.166666666666</v>
      </c>
      <c r="C54" s="33">
        <f t="shared" si="13"/>
        <v>174351.8333333333</v>
      </c>
      <c r="D54" s="33">
        <v>0</v>
      </c>
      <c r="E54" s="33">
        <v>17284</v>
      </c>
      <c r="F54" s="33">
        <v>0</v>
      </c>
      <c r="G54" s="33">
        <f t="shared" si="8"/>
        <v>17284</v>
      </c>
      <c r="H54" s="33">
        <f t="shared" si="14"/>
        <v>128123</v>
      </c>
      <c r="I54" s="33">
        <f t="shared" si="11"/>
        <v>46228.833333333314</v>
      </c>
      <c r="J54" s="33">
        <f>H54/11</f>
        <v>11647.545454545454</v>
      </c>
      <c r="K54" s="42"/>
      <c r="L54" s="42"/>
      <c r="M54" s="43"/>
    </row>
    <row r="55" spans="1:13" ht="15.75" hidden="1" thickBot="1">
      <c r="A55" s="7">
        <v>41426</v>
      </c>
      <c r="B55" s="39">
        <f t="shared" si="12"/>
        <v>15850.166666666666</v>
      </c>
      <c r="C55" s="34">
        <f t="shared" si="13"/>
        <v>190201.99999999997</v>
      </c>
      <c r="D55" s="34">
        <v>0</v>
      </c>
      <c r="E55" s="34">
        <v>15816</v>
      </c>
      <c r="F55" s="34">
        <v>0</v>
      </c>
      <c r="G55" s="34">
        <f t="shared" si="8"/>
        <v>15816</v>
      </c>
      <c r="H55" s="34">
        <f t="shared" si="14"/>
        <v>143939</v>
      </c>
      <c r="I55" s="34">
        <f t="shared" si="11"/>
        <v>46262.99999999997</v>
      </c>
      <c r="J55" s="34">
        <f>H55/12</f>
        <v>11994.916666666666</v>
      </c>
      <c r="K55" s="40"/>
      <c r="L55" s="40"/>
      <c r="M55" s="41"/>
    </row>
    <row r="56" spans="1:13" ht="15" hidden="1">
      <c r="A56" s="7">
        <v>41456</v>
      </c>
      <c r="B56" s="37">
        <f>$B$91/24</f>
        <v>19898.083333333332</v>
      </c>
      <c r="C56" s="33">
        <f>B56</f>
        <v>19898.083333333332</v>
      </c>
      <c r="D56" s="33">
        <v>0</v>
      </c>
      <c r="E56" s="33">
        <v>10616</v>
      </c>
      <c r="F56" s="33">
        <v>0</v>
      </c>
      <c r="G56" s="33">
        <f t="shared" si="8"/>
        <v>10616</v>
      </c>
      <c r="H56" s="33">
        <f>G56</f>
        <v>10616</v>
      </c>
      <c r="I56" s="33">
        <f t="shared" si="11"/>
        <v>9282.083333333332</v>
      </c>
      <c r="J56" s="33">
        <f>H56</f>
        <v>10616</v>
      </c>
      <c r="K56" s="42">
        <v>301</v>
      </c>
      <c r="L56" s="42">
        <v>184</v>
      </c>
      <c r="M56" s="43"/>
    </row>
    <row r="57" spans="1:13" ht="15" hidden="1">
      <c r="A57" s="7">
        <v>41487</v>
      </c>
      <c r="B57" s="37">
        <f aca="true" t="shared" si="15" ref="B57:B79">$B$91/24</f>
        <v>19898.083333333332</v>
      </c>
      <c r="C57" s="33">
        <f aca="true" t="shared" si="16" ref="C57:C79">C56+B57</f>
        <v>39796.166666666664</v>
      </c>
      <c r="D57" s="33">
        <v>0</v>
      </c>
      <c r="E57" s="33">
        <v>21381</v>
      </c>
      <c r="F57" s="33">
        <v>0</v>
      </c>
      <c r="G57" s="33">
        <f t="shared" si="8"/>
        <v>21381</v>
      </c>
      <c r="H57" s="33">
        <f aca="true" t="shared" si="17" ref="H57:H62">G57+H56</f>
        <v>31997</v>
      </c>
      <c r="I57" s="33">
        <f t="shared" si="11"/>
        <v>7799.166666666664</v>
      </c>
      <c r="J57" s="33">
        <f>H57/2</f>
        <v>15998.5</v>
      </c>
      <c r="K57" s="42">
        <v>305</v>
      </c>
      <c r="L57" s="42">
        <v>221</v>
      </c>
      <c r="M57" s="43"/>
    </row>
    <row r="58" spans="1:13" ht="15" hidden="1">
      <c r="A58" s="7">
        <v>41518</v>
      </c>
      <c r="B58" s="37">
        <f t="shared" si="15"/>
        <v>19898.083333333332</v>
      </c>
      <c r="C58" s="33">
        <f t="shared" si="16"/>
        <v>59694.25</v>
      </c>
      <c r="D58" s="33">
        <v>0</v>
      </c>
      <c r="E58" s="33">
        <v>14652</v>
      </c>
      <c r="F58" s="33">
        <v>0</v>
      </c>
      <c r="G58" s="33">
        <f t="shared" si="8"/>
        <v>14652</v>
      </c>
      <c r="H58" s="33">
        <f t="shared" si="17"/>
        <v>46649</v>
      </c>
      <c r="I58" s="33">
        <f t="shared" si="11"/>
        <v>13045.25</v>
      </c>
      <c r="J58" s="33">
        <f>H58/3</f>
        <v>15549.666666666666</v>
      </c>
      <c r="K58" s="42">
        <v>287</v>
      </c>
      <c r="L58" s="42">
        <v>242</v>
      </c>
      <c r="M58" s="43"/>
    </row>
    <row r="59" spans="1:13" ht="15" hidden="1">
      <c r="A59" s="7">
        <v>41548</v>
      </c>
      <c r="B59" s="37">
        <f t="shared" si="15"/>
        <v>19898.083333333332</v>
      </c>
      <c r="C59" s="33">
        <f t="shared" si="16"/>
        <v>79592.33333333333</v>
      </c>
      <c r="D59" s="33">
        <v>0</v>
      </c>
      <c r="E59" s="33">
        <v>11221.78</v>
      </c>
      <c r="F59" s="33">
        <v>0</v>
      </c>
      <c r="G59" s="33">
        <f t="shared" si="8"/>
        <v>11221.78</v>
      </c>
      <c r="H59" s="33">
        <f t="shared" si="17"/>
        <v>57870.78</v>
      </c>
      <c r="I59" s="33">
        <f t="shared" si="11"/>
        <v>21721.55333333333</v>
      </c>
      <c r="J59" s="33">
        <f>H59/4</f>
        <v>14467.695</v>
      </c>
      <c r="K59" s="42">
        <v>265</v>
      </c>
      <c r="L59" s="42">
        <v>186</v>
      </c>
      <c r="M59" s="43"/>
    </row>
    <row r="60" spans="1:13" ht="15" hidden="1">
      <c r="A60" s="7">
        <v>41579</v>
      </c>
      <c r="B60" s="37">
        <f t="shared" si="15"/>
        <v>19898.083333333332</v>
      </c>
      <c r="C60" s="33">
        <f t="shared" si="16"/>
        <v>99490.41666666666</v>
      </c>
      <c r="D60" s="33">
        <v>0</v>
      </c>
      <c r="E60" s="33">
        <v>13724.36</v>
      </c>
      <c r="F60" s="33">
        <v>0</v>
      </c>
      <c r="G60" s="33">
        <f t="shared" si="8"/>
        <v>13724.36</v>
      </c>
      <c r="H60" s="33">
        <f t="shared" si="17"/>
        <v>71595.14</v>
      </c>
      <c r="I60" s="33">
        <f aca="true" t="shared" si="18" ref="I60:I65">C60-H60</f>
        <v>27895.276666666658</v>
      </c>
      <c r="J60" s="33">
        <f>H60/5</f>
        <v>14319.028</v>
      </c>
      <c r="K60" s="42">
        <v>299</v>
      </c>
      <c r="L60" s="42">
        <v>204</v>
      </c>
      <c r="M60" s="43"/>
    </row>
    <row r="61" spans="1:13" ht="15" hidden="1">
      <c r="A61" s="7">
        <v>41609</v>
      </c>
      <c r="B61" s="37">
        <f t="shared" si="15"/>
        <v>19898.083333333332</v>
      </c>
      <c r="C61" s="33">
        <f t="shared" si="16"/>
        <v>119388.49999999999</v>
      </c>
      <c r="D61" s="33">
        <v>0</v>
      </c>
      <c r="E61" s="33">
        <v>14916.67</v>
      </c>
      <c r="F61" s="33">
        <v>0</v>
      </c>
      <c r="G61" s="33">
        <f t="shared" si="8"/>
        <v>14916.67</v>
      </c>
      <c r="H61" s="33">
        <f t="shared" si="17"/>
        <v>86511.81</v>
      </c>
      <c r="I61" s="33">
        <f t="shared" si="18"/>
        <v>32876.68999999999</v>
      </c>
      <c r="J61" s="33">
        <f>H61/6</f>
        <v>14418.635</v>
      </c>
      <c r="K61" s="42">
        <v>304</v>
      </c>
      <c r="L61" s="42">
        <v>202</v>
      </c>
      <c r="M61" s="43"/>
    </row>
    <row r="62" spans="1:13" ht="15" hidden="1">
      <c r="A62" s="7">
        <v>41640</v>
      </c>
      <c r="B62" s="37">
        <f t="shared" si="15"/>
        <v>19898.083333333332</v>
      </c>
      <c r="C62" s="33">
        <f t="shared" si="16"/>
        <v>139286.5833333333</v>
      </c>
      <c r="D62" s="33">
        <v>0</v>
      </c>
      <c r="E62" s="33">
        <v>16767</v>
      </c>
      <c r="F62" s="33">
        <v>0</v>
      </c>
      <c r="G62" s="33">
        <f t="shared" si="8"/>
        <v>16767</v>
      </c>
      <c r="H62" s="33">
        <f t="shared" si="17"/>
        <v>103278.81</v>
      </c>
      <c r="I62" s="33">
        <f t="shared" si="18"/>
        <v>36007.773333333316</v>
      </c>
      <c r="J62" s="33">
        <f>H62/7</f>
        <v>14754.115714285714</v>
      </c>
      <c r="K62" s="42">
        <v>315</v>
      </c>
      <c r="L62" s="42">
        <v>221</v>
      </c>
      <c r="M62" s="43"/>
    </row>
    <row r="63" spans="1:13" ht="15" hidden="1">
      <c r="A63" s="7">
        <v>41671</v>
      </c>
      <c r="B63" s="37">
        <f t="shared" si="15"/>
        <v>19898.083333333332</v>
      </c>
      <c r="C63" s="33">
        <f t="shared" si="16"/>
        <v>159184.66666666666</v>
      </c>
      <c r="D63" s="33">
        <v>0</v>
      </c>
      <c r="E63" s="33">
        <v>17095.45</v>
      </c>
      <c r="F63" s="33">
        <v>0</v>
      </c>
      <c r="G63" s="33">
        <f t="shared" si="8"/>
        <v>17095.45</v>
      </c>
      <c r="H63" s="33">
        <f aca="true" t="shared" si="19" ref="H63:H68">G63+H62</f>
        <v>120374.26</v>
      </c>
      <c r="I63" s="33">
        <f t="shared" si="18"/>
        <v>38810.40666666666</v>
      </c>
      <c r="J63" s="33">
        <f>H63/8</f>
        <v>15046.7825</v>
      </c>
      <c r="K63" s="42">
        <v>303</v>
      </c>
      <c r="L63" s="42">
        <v>230</v>
      </c>
      <c r="M63" s="43"/>
    </row>
    <row r="64" spans="1:13" ht="15" hidden="1">
      <c r="A64" s="7">
        <v>41699</v>
      </c>
      <c r="B64" s="37">
        <f t="shared" si="15"/>
        <v>19898.083333333332</v>
      </c>
      <c r="C64" s="33">
        <f t="shared" si="16"/>
        <v>179082.75</v>
      </c>
      <c r="D64" s="33">
        <v>0</v>
      </c>
      <c r="E64" s="33">
        <v>17724.6</v>
      </c>
      <c r="F64" s="33">
        <v>0</v>
      </c>
      <c r="G64" s="33">
        <f t="shared" si="8"/>
        <v>17724.6</v>
      </c>
      <c r="H64" s="33">
        <f t="shared" si="19"/>
        <v>138098.86</v>
      </c>
      <c r="I64" s="33">
        <f t="shared" si="18"/>
        <v>40983.890000000014</v>
      </c>
      <c r="J64" s="33">
        <f>H64/9</f>
        <v>15344.317777777776</v>
      </c>
      <c r="K64" s="42">
        <v>281</v>
      </c>
      <c r="L64" s="42">
        <v>213</v>
      </c>
      <c r="M64" s="43"/>
    </row>
    <row r="65" spans="1:13" ht="15" hidden="1">
      <c r="A65" s="7">
        <v>41730</v>
      </c>
      <c r="B65" s="37">
        <f t="shared" si="15"/>
        <v>19898.083333333332</v>
      </c>
      <c r="C65" s="33">
        <f t="shared" si="16"/>
        <v>198980.83333333334</v>
      </c>
      <c r="D65" s="33">
        <v>0</v>
      </c>
      <c r="E65" s="33">
        <v>16594.73</v>
      </c>
      <c r="F65" s="33">
        <v>0</v>
      </c>
      <c r="G65" s="33">
        <f t="shared" si="8"/>
        <v>16594.73</v>
      </c>
      <c r="H65" s="33">
        <f t="shared" si="19"/>
        <v>154693.59</v>
      </c>
      <c r="I65" s="33">
        <f t="shared" si="18"/>
        <v>44287.24333333335</v>
      </c>
      <c r="J65" s="33">
        <f>H65/10</f>
        <v>15469.359</v>
      </c>
      <c r="K65" s="42">
        <v>293</v>
      </c>
      <c r="L65" s="42">
        <v>213</v>
      </c>
      <c r="M65" s="43"/>
    </row>
    <row r="66" spans="1:13" ht="15" hidden="1">
      <c r="A66" s="7">
        <v>41760</v>
      </c>
      <c r="B66" s="37">
        <f t="shared" si="15"/>
        <v>19898.083333333332</v>
      </c>
      <c r="C66" s="33">
        <f t="shared" si="16"/>
        <v>218878.9166666667</v>
      </c>
      <c r="D66" s="33">
        <v>0</v>
      </c>
      <c r="E66" s="33">
        <v>20234.06</v>
      </c>
      <c r="F66" s="33">
        <v>0</v>
      </c>
      <c r="G66" s="33">
        <f t="shared" si="8"/>
        <v>20234.06</v>
      </c>
      <c r="H66" s="33">
        <f t="shared" si="19"/>
        <v>174927.65</v>
      </c>
      <c r="I66" s="33">
        <f aca="true" t="shared" si="20" ref="I66:I71">C66-H66</f>
        <v>43951.26666666669</v>
      </c>
      <c r="J66" s="33">
        <f>H66/11</f>
        <v>15902.513636363636</v>
      </c>
      <c r="K66" s="42">
        <v>288</v>
      </c>
      <c r="L66" s="42">
        <v>229</v>
      </c>
      <c r="M66" s="43"/>
    </row>
    <row r="67" spans="1:13" ht="15" hidden="1">
      <c r="A67" s="7">
        <v>41791</v>
      </c>
      <c r="B67" s="37">
        <f t="shared" si="15"/>
        <v>19898.083333333332</v>
      </c>
      <c r="C67" s="33">
        <f t="shared" si="16"/>
        <v>238777.00000000003</v>
      </c>
      <c r="D67" s="33">
        <v>0</v>
      </c>
      <c r="E67" s="33">
        <v>19563</v>
      </c>
      <c r="F67" s="33">
        <v>0</v>
      </c>
      <c r="G67" s="33">
        <f t="shared" si="8"/>
        <v>19563</v>
      </c>
      <c r="H67" s="33">
        <f t="shared" si="19"/>
        <v>194490.65</v>
      </c>
      <c r="I67" s="33">
        <f t="shared" si="20"/>
        <v>44286.350000000035</v>
      </c>
      <c r="J67" s="33">
        <f>H67/12</f>
        <v>16207.554166666667</v>
      </c>
      <c r="K67" s="42">
        <v>260</v>
      </c>
      <c r="L67" s="42">
        <v>192</v>
      </c>
      <c r="M67" s="43"/>
    </row>
    <row r="68" spans="1:13" ht="15">
      <c r="A68" s="7">
        <v>41821</v>
      </c>
      <c r="B68" s="37">
        <f t="shared" si="15"/>
        <v>19898.083333333332</v>
      </c>
      <c r="C68" s="33">
        <f t="shared" si="16"/>
        <v>258675.08333333337</v>
      </c>
      <c r="D68" s="33">
        <v>0</v>
      </c>
      <c r="E68" s="33">
        <v>21443</v>
      </c>
      <c r="F68" s="33">
        <v>0</v>
      </c>
      <c r="G68" s="33">
        <f t="shared" si="8"/>
        <v>21443</v>
      </c>
      <c r="H68" s="33">
        <f t="shared" si="19"/>
        <v>215933.65</v>
      </c>
      <c r="I68" s="33">
        <f t="shared" si="20"/>
        <v>42741.43333333338</v>
      </c>
      <c r="J68" s="33">
        <f>H68/13</f>
        <v>16610.28076923077</v>
      </c>
      <c r="K68" s="42">
        <v>257</v>
      </c>
      <c r="L68" s="42">
        <v>196</v>
      </c>
      <c r="M68" s="43"/>
    </row>
    <row r="69" spans="1:13" ht="15">
      <c r="A69" s="7">
        <v>41852</v>
      </c>
      <c r="B69" s="37">
        <f t="shared" si="15"/>
        <v>19898.083333333332</v>
      </c>
      <c r="C69" s="33">
        <f t="shared" si="16"/>
        <v>278573.1666666667</v>
      </c>
      <c r="D69" s="33">
        <v>0</v>
      </c>
      <c r="E69" s="33">
        <v>18023</v>
      </c>
      <c r="F69" s="33">
        <v>0</v>
      </c>
      <c r="G69" s="33">
        <f t="shared" si="8"/>
        <v>18023</v>
      </c>
      <c r="H69" s="33">
        <f aca="true" t="shared" si="21" ref="H69:H74">G69+H68</f>
        <v>233956.65</v>
      </c>
      <c r="I69" s="33">
        <f t="shared" si="20"/>
        <v>44616.51666666669</v>
      </c>
      <c r="J69" s="33">
        <f>H69/14</f>
        <v>16711.189285714285</v>
      </c>
      <c r="K69" s="42">
        <v>257</v>
      </c>
      <c r="L69" s="42">
        <v>198</v>
      </c>
      <c r="M69" s="43"/>
    </row>
    <row r="70" spans="1:13" ht="15">
      <c r="A70" s="7">
        <v>41883</v>
      </c>
      <c r="B70" s="37">
        <f t="shared" si="15"/>
        <v>19898.083333333332</v>
      </c>
      <c r="C70" s="33">
        <f t="shared" si="16"/>
        <v>298471.25</v>
      </c>
      <c r="D70" s="33">
        <v>0</v>
      </c>
      <c r="E70" s="33">
        <v>18050</v>
      </c>
      <c r="F70" s="33">
        <v>0</v>
      </c>
      <c r="G70" s="33">
        <f t="shared" si="8"/>
        <v>18050</v>
      </c>
      <c r="H70" s="33">
        <f t="shared" si="21"/>
        <v>252006.65</v>
      </c>
      <c r="I70" s="33">
        <f t="shared" si="20"/>
        <v>46464.600000000006</v>
      </c>
      <c r="J70" s="33">
        <f>H70/15</f>
        <v>16800.443333333333</v>
      </c>
      <c r="K70" s="42">
        <v>233</v>
      </c>
      <c r="L70" s="42">
        <v>189</v>
      </c>
      <c r="M70" s="43"/>
    </row>
    <row r="71" spans="1:13" ht="15">
      <c r="A71" s="7">
        <v>41913</v>
      </c>
      <c r="B71" s="37">
        <f t="shared" si="15"/>
        <v>19898.083333333332</v>
      </c>
      <c r="C71" s="33">
        <f t="shared" si="16"/>
        <v>318369.3333333333</v>
      </c>
      <c r="D71" s="33">
        <v>0</v>
      </c>
      <c r="E71" s="33">
        <v>22100</v>
      </c>
      <c r="F71" s="33">
        <v>0</v>
      </c>
      <c r="G71" s="33">
        <f t="shared" si="8"/>
        <v>22100</v>
      </c>
      <c r="H71" s="33">
        <f t="shared" si="21"/>
        <v>274106.65</v>
      </c>
      <c r="I71" s="33">
        <f t="shared" si="20"/>
        <v>44262.68333333329</v>
      </c>
      <c r="J71" s="33">
        <f>H71/16</f>
        <v>17131.665625</v>
      </c>
      <c r="K71" s="42">
        <v>249</v>
      </c>
      <c r="L71" s="42">
        <v>179</v>
      </c>
      <c r="M71" s="43"/>
    </row>
    <row r="72" spans="1:13" ht="15">
      <c r="A72" s="7">
        <v>41944</v>
      </c>
      <c r="B72" s="37">
        <f t="shared" si="15"/>
        <v>19898.083333333332</v>
      </c>
      <c r="C72" s="33">
        <f t="shared" si="16"/>
        <v>338267.4166666666</v>
      </c>
      <c r="D72" s="33">
        <v>0</v>
      </c>
      <c r="E72" s="33">
        <v>18109</v>
      </c>
      <c r="F72" s="33">
        <v>0</v>
      </c>
      <c r="G72" s="33">
        <f t="shared" si="8"/>
        <v>18109</v>
      </c>
      <c r="H72" s="33">
        <f t="shared" si="21"/>
        <v>292215.65</v>
      </c>
      <c r="I72" s="33">
        <f>C72-H72</f>
        <v>46051.766666666605</v>
      </c>
      <c r="J72" s="33">
        <f>H72/17</f>
        <v>17189.15588235294</v>
      </c>
      <c r="K72" s="42">
        <v>235</v>
      </c>
      <c r="L72" s="42">
        <v>205</v>
      </c>
      <c r="M72" s="43"/>
    </row>
    <row r="73" spans="1:13" ht="15">
      <c r="A73" s="7">
        <v>41974</v>
      </c>
      <c r="B73" s="37">
        <f t="shared" si="15"/>
        <v>19898.083333333332</v>
      </c>
      <c r="C73" s="33">
        <f t="shared" si="16"/>
        <v>358165.49999999994</v>
      </c>
      <c r="D73" s="33">
        <v>0</v>
      </c>
      <c r="E73" s="33">
        <v>19949</v>
      </c>
      <c r="F73" s="33">
        <v>0</v>
      </c>
      <c r="G73" s="33">
        <f t="shared" si="8"/>
        <v>19949</v>
      </c>
      <c r="H73" s="33">
        <f t="shared" si="21"/>
        <v>312164.65</v>
      </c>
      <c r="I73" s="33">
        <f>C73-H73</f>
        <v>46000.84999999992</v>
      </c>
      <c r="J73" s="33">
        <f>H73/18</f>
        <v>17342.480555555558</v>
      </c>
      <c r="K73" s="42">
        <v>236</v>
      </c>
      <c r="L73" s="42">
        <v>192</v>
      </c>
      <c r="M73" s="43"/>
    </row>
    <row r="74" spans="1:13" ht="15">
      <c r="A74" s="7">
        <v>42005</v>
      </c>
      <c r="B74" s="37">
        <f t="shared" si="15"/>
        <v>19898.083333333332</v>
      </c>
      <c r="C74" s="33">
        <f t="shared" si="16"/>
        <v>378063.58333333326</v>
      </c>
      <c r="D74" s="33">
        <v>0</v>
      </c>
      <c r="E74" s="33">
        <v>15783</v>
      </c>
      <c r="F74" s="33">
        <v>0</v>
      </c>
      <c r="G74" s="33">
        <f t="shared" si="8"/>
        <v>15783</v>
      </c>
      <c r="H74" s="33">
        <f t="shared" si="21"/>
        <v>327947.65</v>
      </c>
      <c r="I74" s="33">
        <f>C74-H74</f>
        <v>50115.93333333323</v>
      </c>
      <c r="J74" s="33">
        <f>H74/19</f>
        <v>17260.40263157895</v>
      </c>
      <c r="K74" s="42">
        <v>236</v>
      </c>
      <c r="L74" s="42">
        <v>218</v>
      </c>
      <c r="M74" s="43"/>
    </row>
    <row r="75" spans="1:13" ht="15">
      <c r="A75" s="7">
        <v>42036</v>
      </c>
      <c r="B75" s="37">
        <f t="shared" si="15"/>
        <v>19898.083333333332</v>
      </c>
      <c r="C75" s="33">
        <f t="shared" si="16"/>
        <v>397961.66666666657</v>
      </c>
      <c r="D75" s="33"/>
      <c r="E75" s="33"/>
      <c r="F75" s="33"/>
      <c r="G75" s="33"/>
      <c r="H75" s="33"/>
      <c r="I75" s="33"/>
      <c r="J75" s="33"/>
      <c r="K75" s="42"/>
      <c r="L75" s="42"/>
      <c r="M75" s="43"/>
    </row>
    <row r="76" spans="1:13" ht="15">
      <c r="A76" s="7">
        <v>42064</v>
      </c>
      <c r="B76" s="37">
        <f t="shared" si="15"/>
        <v>19898.083333333332</v>
      </c>
      <c r="C76" s="33">
        <f t="shared" si="16"/>
        <v>417859.7499999999</v>
      </c>
      <c r="D76" s="33"/>
      <c r="E76" s="33"/>
      <c r="F76" s="33"/>
      <c r="G76" s="33"/>
      <c r="H76" s="33"/>
      <c r="I76" s="33"/>
      <c r="J76" s="33"/>
      <c r="K76" s="42"/>
      <c r="L76" s="42"/>
      <c r="M76" s="43"/>
    </row>
    <row r="77" spans="1:13" ht="15">
      <c r="A77" s="7">
        <v>42095</v>
      </c>
      <c r="B77" s="37">
        <f t="shared" si="15"/>
        <v>19898.083333333332</v>
      </c>
      <c r="C77" s="33">
        <f t="shared" si="16"/>
        <v>437757.8333333332</v>
      </c>
      <c r="D77" s="33"/>
      <c r="E77" s="33"/>
      <c r="F77" s="33"/>
      <c r="G77" s="33"/>
      <c r="H77" s="33"/>
      <c r="I77" s="33"/>
      <c r="J77" s="33"/>
      <c r="K77" s="42"/>
      <c r="L77" s="42"/>
      <c r="M77" s="43"/>
    </row>
    <row r="78" spans="1:13" ht="15">
      <c r="A78" s="7">
        <v>42125</v>
      </c>
      <c r="B78" s="37">
        <f t="shared" si="15"/>
        <v>19898.083333333332</v>
      </c>
      <c r="C78" s="33">
        <f t="shared" si="16"/>
        <v>457655.9166666665</v>
      </c>
      <c r="D78" s="33"/>
      <c r="E78" s="33"/>
      <c r="F78" s="33"/>
      <c r="G78" s="33"/>
      <c r="H78" s="33"/>
      <c r="I78" s="33"/>
      <c r="J78" s="33"/>
      <c r="K78" s="42"/>
      <c r="L78" s="42"/>
      <c r="M78" s="43"/>
    </row>
    <row r="79" spans="1:13" ht="15">
      <c r="A79" s="7">
        <v>42156</v>
      </c>
      <c r="B79" s="37">
        <f t="shared" si="15"/>
        <v>19898.083333333332</v>
      </c>
      <c r="C79" s="33">
        <f t="shared" si="16"/>
        <v>477553.9999999998</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212683</v>
      </c>
      <c r="C81" s="25">
        <f>SUM(B8:B19)</f>
        <v>212683.00000000003</v>
      </c>
      <c r="D81" s="25">
        <f>SUM(D8:D19)</f>
        <v>21672</v>
      </c>
      <c r="E81" s="25">
        <f>SUM(E8:E19)</f>
        <v>177634</v>
      </c>
      <c r="F81" s="25"/>
      <c r="G81" s="25">
        <f>SUM(G8:G19)</f>
        <v>199306</v>
      </c>
      <c r="H81" s="25">
        <f>G81</f>
        <v>199306</v>
      </c>
      <c r="I81" s="25">
        <f>I19</f>
        <v>13377.00000000003</v>
      </c>
      <c r="J81" s="25">
        <f>J19</f>
        <v>19149.4</v>
      </c>
      <c r="K81" s="30">
        <f>SUM(K8:K19)</f>
        <v>1672</v>
      </c>
      <c r="L81" s="30">
        <f>SUM(L8:L19)</f>
        <v>1506</v>
      </c>
      <c r="M81" s="30">
        <f>SUM(M8:M19)</f>
        <v>212</v>
      </c>
    </row>
    <row r="82" spans="1:13" ht="15" hidden="1">
      <c r="A82" s="20" t="s">
        <v>22</v>
      </c>
      <c r="B82" s="25">
        <v>408280</v>
      </c>
      <c r="C82" s="25">
        <f>C31</f>
        <v>408280.0000000001</v>
      </c>
      <c r="D82" s="25">
        <f>SUM(D20:D31)</f>
        <v>38712</v>
      </c>
      <c r="E82" s="25">
        <f>SUM(E20:E31)</f>
        <v>272547</v>
      </c>
      <c r="F82" s="25"/>
      <c r="G82" s="25">
        <f>SUM(G20:G31)</f>
        <v>311259</v>
      </c>
      <c r="H82" s="25">
        <f>G82</f>
        <v>311259</v>
      </c>
      <c r="I82" s="25">
        <f>I31</f>
        <v>97021.00000000012</v>
      </c>
      <c r="J82" s="25">
        <f>AVERAGE(G20:G31)</f>
        <v>25938.25</v>
      </c>
      <c r="K82" s="30">
        <f>SUM(K20:K31)</f>
        <v>2586</v>
      </c>
      <c r="L82" s="30">
        <f>SUM(L20:L31)</f>
        <v>2188</v>
      </c>
      <c r="M82" s="30">
        <f>SUM(M20:M31)</f>
        <v>607</v>
      </c>
    </row>
    <row r="83" spans="1:13" ht="15" hidden="1">
      <c r="A83" s="20" t="s">
        <v>23</v>
      </c>
      <c r="B83" s="25">
        <f>SUM(B81:B82)</f>
        <v>620963</v>
      </c>
      <c r="C83" s="25">
        <f>SUM(C81:C82)</f>
        <v>620963.0000000001</v>
      </c>
      <c r="D83" s="25">
        <f>D81+D82</f>
        <v>60384</v>
      </c>
      <c r="E83" s="25">
        <f>E81+E82</f>
        <v>450181</v>
      </c>
      <c r="F83" s="25"/>
      <c r="G83" s="25">
        <f>G81+G82</f>
        <v>510565</v>
      </c>
      <c r="H83" s="25">
        <f>H81+H82</f>
        <v>510565</v>
      </c>
      <c r="I83" s="25"/>
      <c r="J83" s="25">
        <f>AVERAGE(G8:G31)</f>
        <v>21273.541666666668</v>
      </c>
      <c r="K83" s="27">
        <f>SUM(K81:K82)</f>
        <v>4258</v>
      </c>
      <c r="L83" s="27">
        <f>SUM(L81:L82)</f>
        <v>3694</v>
      </c>
      <c r="M83" s="27">
        <f>SUM(M81:M82)</f>
        <v>819</v>
      </c>
    </row>
    <row r="84" spans="1:12" ht="15" hidden="1">
      <c r="A84" s="20"/>
      <c r="B84" s="25"/>
      <c r="C84" s="25"/>
      <c r="D84" s="25"/>
      <c r="E84" s="25"/>
      <c r="F84" s="25"/>
      <c r="G84" s="25"/>
      <c r="H84" s="25"/>
      <c r="I84" s="25"/>
      <c r="J84" s="25"/>
      <c r="K84" s="27"/>
      <c r="L84" s="27"/>
    </row>
    <row r="85" spans="1:13" ht="15" hidden="1">
      <c r="A85" s="20" t="s">
        <v>24</v>
      </c>
      <c r="B85" s="25">
        <v>120364</v>
      </c>
      <c r="C85" s="25">
        <f>C43</f>
        <v>120363.99999999999</v>
      </c>
      <c r="D85" s="25">
        <f>SUM(D32:D43)</f>
        <v>0</v>
      </c>
      <c r="E85" s="25">
        <f>SUM(E32:E43)</f>
        <v>42427</v>
      </c>
      <c r="F85" s="25">
        <f>SUM(F32:F74)</f>
        <v>0</v>
      </c>
      <c r="G85" s="25">
        <f>SUM(G32:G43)</f>
        <v>42427</v>
      </c>
      <c r="H85" s="25">
        <f>G85</f>
        <v>42427</v>
      </c>
      <c r="I85" s="25">
        <f>I43</f>
        <v>77936.99999999999</v>
      </c>
      <c r="J85" s="25">
        <f>AVERAGE(G32:G43)</f>
        <v>3535.5833333333335</v>
      </c>
      <c r="K85" s="30">
        <f>SUM(K32:K43)</f>
        <v>6021</v>
      </c>
      <c r="L85" s="30">
        <f>SUM(L32:L43)</f>
        <v>2077</v>
      </c>
      <c r="M85" s="4">
        <f>SUM(M32:M43)</f>
        <v>491</v>
      </c>
    </row>
    <row r="86" spans="1:13" ht="15" hidden="1">
      <c r="A86" s="20" t="s">
        <v>25</v>
      </c>
      <c r="B86" s="25">
        <v>190202</v>
      </c>
      <c r="C86" s="25">
        <f>SUM(B44:B55)</f>
        <v>190201.99999999997</v>
      </c>
      <c r="D86" s="25">
        <f>SUM(D44:D55)</f>
        <v>0</v>
      </c>
      <c r="E86" s="25">
        <f>SUM(E44:E55)</f>
        <v>143939</v>
      </c>
      <c r="F86" s="25">
        <f>SUM(F44:F55)</f>
        <v>0</v>
      </c>
      <c r="G86" s="25">
        <f>SUM(G44:G55)</f>
        <v>143939</v>
      </c>
      <c r="H86" s="25">
        <f>G86</f>
        <v>143939</v>
      </c>
      <c r="I86" s="25">
        <f>I55</f>
        <v>46262.99999999997</v>
      </c>
      <c r="J86" s="25">
        <f>J55</f>
        <v>11994.916666666666</v>
      </c>
      <c r="K86" s="30">
        <f>SUM(K44:K55)</f>
        <v>2399</v>
      </c>
      <c r="L86" s="30">
        <f>SUM(L44:L55)</f>
        <v>754</v>
      </c>
      <c r="M86" s="44">
        <f>SUM(M44:M55)</f>
        <v>0</v>
      </c>
    </row>
    <row r="87" spans="1:13" ht="15" hidden="1">
      <c r="A87" s="20" t="s">
        <v>26</v>
      </c>
      <c r="B87" s="25">
        <f>B85+B86</f>
        <v>310566</v>
      </c>
      <c r="C87" s="25">
        <f aca="true" t="shared" si="22" ref="C87:M87">SUM(C85:C86)</f>
        <v>310565.99999999994</v>
      </c>
      <c r="D87" s="25">
        <f t="shared" si="22"/>
        <v>0</v>
      </c>
      <c r="E87" s="25">
        <f t="shared" si="22"/>
        <v>186366</v>
      </c>
      <c r="F87" s="25">
        <f t="shared" si="22"/>
        <v>0</v>
      </c>
      <c r="G87" s="25">
        <f t="shared" si="22"/>
        <v>186366</v>
      </c>
      <c r="H87" s="25">
        <f t="shared" si="22"/>
        <v>186366</v>
      </c>
      <c r="I87" s="25">
        <f t="shared" si="22"/>
        <v>124199.99999999996</v>
      </c>
      <c r="J87" s="25">
        <f t="shared" si="22"/>
        <v>15530.5</v>
      </c>
      <c r="K87" s="27">
        <f t="shared" si="22"/>
        <v>8420</v>
      </c>
      <c r="L87" s="27">
        <f t="shared" si="22"/>
        <v>2831</v>
      </c>
      <c r="M87" s="27">
        <f t="shared" si="22"/>
        <v>491</v>
      </c>
    </row>
    <row r="88" spans="1:13" ht="15" hidden="1">
      <c r="A88" s="20"/>
      <c r="B88" s="25"/>
      <c r="C88" s="25"/>
      <c r="D88" s="25"/>
      <c r="E88" s="25"/>
      <c r="F88" s="25"/>
      <c r="G88" s="25"/>
      <c r="H88" s="25"/>
      <c r="I88" s="25"/>
      <c r="J88" s="25"/>
      <c r="K88" s="27"/>
      <c r="L88" s="27"/>
      <c r="M88" s="27"/>
    </row>
    <row r="89" spans="1:13" s="56" customFormat="1" ht="18" hidden="1">
      <c r="A89" s="52" t="s">
        <v>27</v>
      </c>
      <c r="B89" s="53">
        <f>358688/2</f>
        <v>179344</v>
      </c>
      <c r="C89" s="53">
        <f>C67</f>
        <v>238777.00000000003</v>
      </c>
      <c r="D89" s="53">
        <f>SUM(D56:D67)</f>
        <v>0</v>
      </c>
      <c r="E89" s="53">
        <f>SUM(E56:E67)</f>
        <v>194490.65</v>
      </c>
      <c r="F89" s="53">
        <f>SUM(F56:F67)</f>
        <v>0</v>
      </c>
      <c r="G89" s="53">
        <f>SUM(G56:G67)</f>
        <v>194490.65</v>
      </c>
      <c r="H89" s="53">
        <f>H67</f>
        <v>194490.65</v>
      </c>
      <c r="I89" s="53">
        <f>I67</f>
        <v>44286.350000000035</v>
      </c>
      <c r="J89" s="53">
        <f>J67</f>
        <v>16207.554166666667</v>
      </c>
      <c r="K89" s="54">
        <f>SUM(K56:K67)</f>
        <v>3501</v>
      </c>
      <c r="L89" s="54">
        <f>SUM(L56:L67)</f>
        <v>2537</v>
      </c>
      <c r="M89" s="55"/>
    </row>
    <row r="90" spans="1:13" s="56" customFormat="1" ht="18" hidden="1">
      <c r="A90" s="52" t="s">
        <v>28</v>
      </c>
      <c r="B90" s="53">
        <f>358688/2</f>
        <v>179344</v>
      </c>
      <c r="C90" s="53">
        <v>179344.00000000003</v>
      </c>
      <c r="D90" s="53">
        <f>SUM(D68:D79)</f>
        <v>0</v>
      </c>
      <c r="E90" s="53">
        <f>SUM(E68:E79)</f>
        <v>133457</v>
      </c>
      <c r="F90" s="53">
        <f>SUM(F68:F79)</f>
        <v>0</v>
      </c>
      <c r="G90" s="53">
        <f>SUM(G68:G79)</f>
        <v>133457</v>
      </c>
      <c r="H90" s="55"/>
      <c r="I90" s="58"/>
      <c r="J90" s="53"/>
      <c r="K90" s="54">
        <f>SUM(K68:K79)</f>
        <v>1703</v>
      </c>
      <c r="L90" s="54">
        <f>SUM(L68:L79)</f>
        <v>1377</v>
      </c>
      <c r="M90" s="55"/>
    </row>
    <row r="91" spans="1:13" ht="18">
      <c r="A91" s="20" t="s">
        <v>29</v>
      </c>
      <c r="B91" s="8">
        <v>477554</v>
      </c>
      <c r="C91" s="8">
        <f>C79</f>
        <v>477553.9999999998</v>
      </c>
      <c r="D91" s="8">
        <f aca="true" t="shared" si="23" ref="D91:L91">D89+D90</f>
        <v>0</v>
      </c>
      <c r="E91" s="8">
        <f t="shared" si="23"/>
        <v>327947.65</v>
      </c>
      <c r="F91" s="8">
        <f t="shared" si="23"/>
        <v>0</v>
      </c>
      <c r="G91" s="8">
        <f t="shared" si="23"/>
        <v>327947.65</v>
      </c>
      <c r="H91" s="8">
        <f>H74</f>
        <v>327947.65</v>
      </c>
      <c r="I91" s="8">
        <f>I74</f>
        <v>50115.93333333323</v>
      </c>
      <c r="J91" s="8">
        <f>J74</f>
        <v>17260.40263157895</v>
      </c>
      <c r="K91" s="9">
        <f t="shared" si="23"/>
        <v>5204</v>
      </c>
      <c r="L91" s="9">
        <f t="shared" si="23"/>
        <v>3914</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8"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2.28125" style="4" customWidth="1"/>
    <col min="3" max="12" width="17.140625" style="4" customWidth="1"/>
    <col min="13" max="13" width="9.57421875" style="4" hidden="1" customWidth="1"/>
  </cols>
  <sheetData>
    <row r="1" spans="1:10" ht="18">
      <c r="A1" s="1" t="s">
        <v>0</v>
      </c>
      <c r="B1" s="2"/>
      <c r="C1" s="3"/>
      <c r="D1" s="3"/>
      <c r="E1" s="3"/>
      <c r="F1" s="3"/>
      <c r="G1" s="2"/>
      <c r="H1" s="2"/>
      <c r="I1" s="2"/>
      <c r="J1" s="2"/>
    </row>
    <row r="2" spans="1:2" ht="18">
      <c r="A2" s="5" t="s">
        <v>1</v>
      </c>
      <c r="B2" s="6">
        <v>12</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37</v>
      </c>
    </row>
    <row r="7" spans="2:10" ht="12.75">
      <c r="B7" s="2"/>
      <c r="C7" s="2"/>
      <c r="D7" s="2"/>
      <c r="E7" s="2"/>
      <c r="F7" s="2"/>
      <c r="G7" s="2"/>
      <c r="H7" s="2"/>
      <c r="J7" s="2"/>
    </row>
    <row r="8" spans="1:12" ht="15" hidden="1">
      <c r="A8" s="7">
        <v>39264</v>
      </c>
      <c r="B8" s="25">
        <f aca="true" t="shared" si="0" ref="B8:B19">$B$81/12</f>
        <v>20263</v>
      </c>
      <c r="C8" s="25">
        <f>B8</f>
        <v>20263</v>
      </c>
      <c r="D8" s="25">
        <v>5124</v>
      </c>
      <c r="E8" s="25">
        <v>21728</v>
      </c>
      <c r="F8" s="25"/>
      <c r="G8" s="25">
        <f aca="true" t="shared" si="1" ref="G8:G31">D8+E8</f>
        <v>26852</v>
      </c>
      <c r="H8" s="25">
        <f>G8</f>
        <v>26852</v>
      </c>
      <c r="I8" s="25">
        <f aca="true" t="shared" si="2" ref="I8:I39">C8-H8</f>
        <v>-6589</v>
      </c>
      <c r="J8" s="25">
        <f>H8</f>
        <v>26852</v>
      </c>
      <c r="K8" s="30">
        <v>140</v>
      </c>
      <c r="L8" s="30">
        <v>131</v>
      </c>
    </row>
    <row r="9" spans="1:12" ht="15" hidden="1">
      <c r="A9" s="7">
        <v>39295</v>
      </c>
      <c r="B9" s="25">
        <f t="shared" si="0"/>
        <v>20263</v>
      </c>
      <c r="C9" s="25">
        <f aca="true" t="shared" si="3" ref="C9:C19">C8+B9</f>
        <v>40526</v>
      </c>
      <c r="D9" s="25">
        <v>4841</v>
      </c>
      <c r="E9" s="25">
        <v>14852</v>
      </c>
      <c r="F9" s="25"/>
      <c r="G9" s="25">
        <f t="shared" si="1"/>
        <v>19693</v>
      </c>
      <c r="H9" s="25">
        <f aca="true" t="shared" si="4" ref="H9:H19">H8+G9</f>
        <v>46545</v>
      </c>
      <c r="I9" s="25">
        <f t="shared" si="2"/>
        <v>-6019</v>
      </c>
      <c r="J9" s="25">
        <f>AVERAGE(G8:G9)</f>
        <v>23272.5</v>
      </c>
      <c r="K9" s="30">
        <v>141</v>
      </c>
      <c r="L9" s="30">
        <v>121</v>
      </c>
    </row>
    <row r="10" spans="1:12" ht="15" hidden="1">
      <c r="A10" s="7">
        <v>39326</v>
      </c>
      <c r="B10" s="25">
        <f t="shared" si="0"/>
        <v>20263</v>
      </c>
      <c r="C10" s="25">
        <f t="shared" si="3"/>
        <v>60789</v>
      </c>
      <c r="D10" s="25">
        <v>2590</v>
      </c>
      <c r="E10" s="25">
        <v>14182</v>
      </c>
      <c r="F10" s="25"/>
      <c r="G10" s="25">
        <f t="shared" si="1"/>
        <v>16772</v>
      </c>
      <c r="H10" s="25">
        <f t="shared" si="4"/>
        <v>63317</v>
      </c>
      <c r="I10" s="25">
        <f t="shared" si="2"/>
        <v>-2528</v>
      </c>
      <c r="J10" s="25">
        <f>AVERAGE(G8:G10)</f>
        <v>21105.666666666668</v>
      </c>
      <c r="K10" s="30">
        <v>153</v>
      </c>
      <c r="L10" s="30">
        <v>137</v>
      </c>
    </row>
    <row r="11" spans="1:13" ht="15" hidden="1">
      <c r="A11" s="7">
        <v>39356</v>
      </c>
      <c r="B11" s="25">
        <f t="shared" si="0"/>
        <v>20263</v>
      </c>
      <c r="C11" s="25">
        <f t="shared" si="3"/>
        <v>81052</v>
      </c>
      <c r="D11" s="25">
        <v>5652</v>
      </c>
      <c r="E11" s="25">
        <v>14329</v>
      </c>
      <c r="F11" s="25"/>
      <c r="G11" s="25">
        <f t="shared" si="1"/>
        <v>19981</v>
      </c>
      <c r="H11" s="25">
        <f t="shared" si="4"/>
        <v>83298</v>
      </c>
      <c r="I11" s="25">
        <f t="shared" si="2"/>
        <v>-2246</v>
      </c>
      <c r="J11" s="25">
        <f>AVERAGE(G8:G11)</f>
        <v>20824.5</v>
      </c>
      <c r="K11" s="30">
        <v>154</v>
      </c>
      <c r="L11" s="30">
        <v>141</v>
      </c>
      <c r="M11" s="29">
        <v>11</v>
      </c>
    </row>
    <row r="12" spans="1:13" ht="15" hidden="1">
      <c r="A12" s="7">
        <v>39387</v>
      </c>
      <c r="B12" s="25">
        <f t="shared" si="0"/>
        <v>20263</v>
      </c>
      <c r="C12" s="25">
        <f t="shared" si="3"/>
        <v>101315</v>
      </c>
      <c r="D12" s="25">
        <v>3506</v>
      </c>
      <c r="E12" s="25">
        <v>19772</v>
      </c>
      <c r="F12" s="25"/>
      <c r="G12" s="25">
        <f t="shared" si="1"/>
        <v>23278</v>
      </c>
      <c r="H12" s="25">
        <f t="shared" si="4"/>
        <v>106576</v>
      </c>
      <c r="I12" s="25">
        <f t="shared" si="2"/>
        <v>-5261</v>
      </c>
      <c r="J12" s="25">
        <f>AVERAGE(G8:G12)</f>
        <v>21315.2</v>
      </c>
      <c r="K12" s="30">
        <v>162</v>
      </c>
      <c r="L12" s="30">
        <v>139</v>
      </c>
      <c r="M12" s="29">
        <v>29</v>
      </c>
    </row>
    <row r="13" spans="1:13" ht="15" hidden="1">
      <c r="A13" s="7">
        <v>39417</v>
      </c>
      <c r="B13" s="25">
        <f t="shared" si="0"/>
        <v>20263</v>
      </c>
      <c r="C13" s="25">
        <f t="shared" si="3"/>
        <v>121578</v>
      </c>
      <c r="D13" s="25">
        <v>3360</v>
      </c>
      <c r="E13" s="25">
        <v>13017</v>
      </c>
      <c r="F13" s="25"/>
      <c r="G13" s="25">
        <f t="shared" si="1"/>
        <v>16377</v>
      </c>
      <c r="H13" s="25">
        <f t="shared" si="4"/>
        <v>122953</v>
      </c>
      <c r="I13" s="25">
        <f t="shared" si="2"/>
        <v>-1375</v>
      </c>
      <c r="J13" s="25">
        <f>AVERAGE(G12:G13)</f>
        <v>19827.5</v>
      </c>
      <c r="K13" s="30">
        <v>175</v>
      </c>
      <c r="L13" s="30">
        <v>163</v>
      </c>
      <c r="M13" s="29">
        <v>36</v>
      </c>
    </row>
    <row r="14" spans="1:13" ht="15" hidden="1">
      <c r="A14" s="7">
        <v>39448</v>
      </c>
      <c r="B14" s="25">
        <f t="shared" si="0"/>
        <v>20263</v>
      </c>
      <c r="C14" s="25">
        <f t="shared" si="3"/>
        <v>141841</v>
      </c>
      <c r="D14" s="25">
        <v>5117</v>
      </c>
      <c r="E14" s="25">
        <v>17111</v>
      </c>
      <c r="F14" s="25"/>
      <c r="G14" s="25">
        <f t="shared" si="1"/>
        <v>22228</v>
      </c>
      <c r="H14" s="25">
        <f t="shared" si="4"/>
        <v>145181</v>
      </c>
      <c r="I14" s="25">
        <f t="shared" si="2"/>
        <v>-3340</v>
      </c>
      <c r="J14" s="25">
        <f>AVERAGE(G12:G14)</f>
        <v>20627.666666666668</v>
      </c>
      <c r="K14" s="30">
        <v>194</v>
      </c>
      <c r="L14" s="30">
        <v>164</v>
      </c>
      <c r="M14" s="29">
        <v>38</v>
      </c>
    </row>
    <row r="15" spans="1:13" ht="15" hidden="1">
      <c r="A15" s="7">
        <v>39479</v>
      </c>
      <c r="B15" s="25">
        <f t="shared" si="0"/>
        <v>20263</v>
      </c>
      <c r="C15" s="25">
        <f t="shared" si="3"/>
        <v>162104</v>
      </c>
      <c r="D15" s="25">
        <v>2488</v>
      </c>
      <c r="E15" s="25">
        <v>19154</v>
      </c>
      <c r="F15" s="25"/>
      <c r="G15" s="25">
        <f t="shared" si="1"/>
        <v>21642</v>
      </c>
      <c r="H15" s="25">
        <f t="shared" si="4"/>
        <v>166823</v>
      </c>
      <c r="I15" s="25">
        <f t="shared" si="2"/>
        <v>-4719</v>
      </c>
      <c r="J15" s="25">
        <f>AVERAGE(G12:G15)</f>
        <v>20881.25</v>
      </c>
      <c r="K15" s="30">
        <v>195</v>
      </c>
      <c r="L15" s="30">
        <v>173</v>
      </c>
      <c r="M15" s="29">
        <v>41</v>
      </c>
    </row>
    <row r="16" spans="1:13" ht="15" hidden="1">
      <c r="A16" s="7">
        <v>39508</v>
      </c>
      <c r="B16" s="25">
        <f t="shared" si="0"/>
        <v>20263</v>
      </c>
      <c r="C16" s="25">
        <f t="shared" si="3"/>
        <v>182367</v>
      </c>
      <c r="D16" s="25">
        <v>3352</v>
      </c>
      <c r="E16" s="25">
        <v>23116</v>
      </c>
      <c r="F16" s="25"/>
      <c r="G16" s="25">
        <f t="shared" si="1"/>
        <v>26468</v>
      </c>
      <c r="H16" s="25">
        <f t="shared" si="4"/>
        <v>193291</v>
      </c>
      <c r="I16" s="25">
        <f t="shared" si="2"/>
        <v>-10924</v>
      </c>
      <c r="J16" s="25">
        <f>AVERAGE(G12:G16)</f>
        <v>21998.6</v>
      </c>
      <c r="K16" s="30">
        <v>194</v>
      </c>
      <c r="L16" s="30">
        <v>177</v>
      </c>
      <c r="M16" s="29">
        <v>44</v>
      </c>
    </row>
    <row r="17" spans="1:13" ht="15" hidden="1">
      <c r="A17" s="7">
        <v>39539</v>
      </c>
      <c r="B17" s="25">
        <f t="shared" si="0"/>
        <v>20263</v>
      </c>
      <c r="C17" s="25">
        <f t="shared" si="3"/>
        <v>202630</v>
      </c>
      <c r="D17" s="25">
        <v>3043</v>
      </c>
      <c r="E17" s="25">
        <v>24533</v>
      </c>
      <c r="F17" s="25"/>
      <c r="G17" s="25">
        <f t="shared" si="1"/>
        <v>27576</v>
      </c>
      <c r="H17" s="25">
        <f t="shared" si="4"/>
        <v>220867</v>
      </c>
      <c r="I17" s="25">
        <f t="shared" si="2"/>
        <v>-18237</v>
      </c>
      <c r="J17" s="25">
        <f>AVERAGE(G14:G17)</f>
        <v>24478.5</v>
      </c>
      <c r="K17" s="30">
        <v>212</v>
      </c>
      <c r="L17" s="30">
        <v>198</v>
      </c>
      <c r="M17" s="29">
        <v>49</v>
      </c>
    </row>
    <row r="18" spans="1:13" ht="15" hidden="1">
      <c r="A18" s="7">
        <v>39569</v>
      </c>
      <c r="B18" s="33">
        <f t="shared" si="0"/>
        <v>20263</v>
      </c>
      <c r="C18" s="33">
        <f t="shared" si="3"/>
        <v>222893</v>
      </c>
      <c r="D18" s="33">
        <v>4128</v>
      </c>
      <c r="E18" s="33">
        <v>30999</v>
      </c>
      <c r="F18" s="33"/>
      <c r="G18" s="25">
        <f t="shared" si="1"/>
        <v>35127</v>
      </c>
      <c r="H18" s="25">
        <f t="shared" si="4"/>
        <v>255994</v>
      </c>
      <c r="I18" s="25">
        <f t="shared" si="2"/>
        <v>-33101</v>
      </c>
      <c r="J18" s="25">
        <f>AVERAGE(G14:G18)</f>
        <v>26608.2</v>
      </c>
      <c r="K18" s="30">
        <v>214</v>
      </c>
      <c r="L18" s="30">
        <v>209</v>
      </c>
      <c r="M18" s="29">
        <v>57</v>
      </c>
    </row>
    <row r="19" spans="1:13" ht="15.75" hidden="1" thickBot="1">
      <c r="A19" s="7">
        <v>39600</v>
      </c>
      <c r="B19" s="34">
        <f t="shared" si="0"/>
        <v>20263</v>
      </c>
      <c r="C19" s="34">
        <f t="shared" si="3"/>
        <v>243156</v>
      </c>
      <c r="D19" s="34">
        <v>2167</v>
      </c>
      <c r="E19" s="34">
        <v>23956</v>
      </c>
      <c r="F19" s="34"/>
      <c r="G19" s="34">
        <f t="shared" si="1"/>
        <v>26123</v>
      </c>
      <c r="H19" s="34">
        <f t="shared" si="4"/>
        <v>282117</v>
      </c>
      <c r="I19" s="34">
        <f t="shared" si="2"/>
        <v>-38961</v>
      </c>
      <c r="J19" s="34">
        <f>AVERAGE(G15:G19)</f>
        <v>27387.2</v>
      </c>
      <c r="K19" s="35">
        <v>222</v>
      </c>
      <c r="L19" s="35">
        <v>222</v>
      </c>
      <c r="M19" s="36">
        <v>70</v>
      </c>
    </row>
    <row r="20" spans="1:13" ht="15" hidden="1">
      <c r="A20" s="7">
        <v>39630</v>
      </c>
      <c r="B20" s="37">
        <v>26824.4</v>
      </c>
      <c r="C20" s="33">
        <f>B20</f>
        <v>26824.4</v>
      </c>
      <c r="D20" s="33">
        <v>1391</v>
      </c>
      <c r="E20" s="33">
        <v>23240</v>
      </c>
      <c r="F20" s="33"/>
      <c r="G20" s="33">
        <f t="shared" si="1"/>
        <v>24631</v>
      </c>
      <c r="H20" s="33">
        <f>G20</f>
        <v>24631</v>
      </c>
      <c r="I20" s="33">
        <f t="shared" si="2"/>
        <v>2193.4000000000015</v>
      </c>
      <c r="J20" s="33">
        <f>H20</f>
        <v>24631</v>
      </c>
      <c r="K20" s="30">
        <v>234</v>
      </c>
      <c r="L20" s="30">
        <v>222</v>
      </c>
      <c r="M20" s="29">
        <v>80</v>
      </c>
    </row>
    <row r="21" spans="1:13" ht="15" hidden="1">
      <c r="A21" s="7">
        <v>39661</v>
      </c>
      <c r="B21" s="37">
        <v>26824.4</v>
      </c>
      <c r="C21" s="33">
        <f aca="true" t="shared" si="5" ref="C21:C31">C20+B21</f>
        <v>53648.8</v>
      </c>
      <c r="D21" s="33">
        <v>1411</v>
      </c>
      <c r="E21" s="33">
        <v>22158</v>
      </c>
      <c r="F21" s="33"/>
      <c r="G21" s="33">
        <f t="shared" si="1"/>
        <v>23569</v>
      </c>
      <c r="H21" s="33">
        <f aca="true" t="shared" si="6" ref="H21:H31">H20+G21</f>
        <v>48200</v>
      </c>
      <c r="I21" s="33">
        <f t="shared" si="2"/>
        <v>5448.800000000003</v>
      </c>
      <c r="J21" s="33">
        <f>H21/2</f>
        <v>24100</v>
      </c>
      <c r="K21" s="30">
        <v>232</v>
      </c>
      <c r="L21" s="30">
        <v>219</v>
      </c>
      <c r="M21" s="29">
        <v>79</v>
      </c>
    </row>
    <row r="22" spans="1:13" ht="15" hidden="1">
      <c r="A22" s="7">
        <v>39692</v>
      </c>
      <c r="B22" s="37">
        <v>26824.4</v>
      </c>
      <c r="C22" s="33">
        <f t="shared" si="5"/>
        <v>80473.20000000001</v>
      </c>
      <c r="D22" s="33">
        <v>213</v>
      </c>
      <c r="E22" s="33">
        <v>17776</v>
      </c>
      <c r="F22" s="33"/>
      <c r="G22" s="33">
        <f t="shared" si="1"/>
        <v>17989</v>
      </c>
      <c r="H22" s="33">
        <f t="shared" si="6"/>
        <v>66189</v>
      </c>
      <c r="I22" s="33">
        <f t="shared" si="2"/>
        <v>14284.200000000012</v>
      </c>
      <c r="J22" s="33">
        <f>H22/3</f>
        <v>22063</v>
      </c>
      <c r="K22" s="30">
        <v>256</v>
      </c>
      <c r="L22" s="30">
        <v>223</v>
      </c>
      <c r="M22" s="29">
        <v>85</v>
      </c>
    </row>
    <row r="23" spans="1:13" ht="15" hidden="1">
      <c r="A23" s="7">
        <v>39722</v>
      </c>
      <c r="B23" s="37">
        <v>26824.4</v>
      </c>
      <c r="C23" s="33">
        <f t="shared" si="5"/>
        <v>107297.6</v>
      </c>
      <c r="D23" s="33">
        <v>3370</v>
      </c>
      <c r="E23" s="33">
        <v>18676</v>
      </c>
      <c r="F23" s="33"/>
      <c r="G23" s="33">
        <f t="shared" si="1"/>
        <v>22046</v>
      </c>
      <c r="H23" s="33">
        <f t="shared" si="6"/>
        <v>88235</v>
      </c>
      <c r="I23" s="33">
        <f t="shared" si="2"/>
        <v>19062.600000000006</v>
      </c>
      <c r="J23" s="33">
        <f>H23/4</f>
        <v>22058.75</v>
      </c>
      <c r="K23" s="30">
        <v>247</v>
      </c>
      <c r="L23" s="30">
        <v>226</v>
      </c>
      <c r="M23" s="29">
        <v>82</v>
      </c>
    </row>
    <row r="24" spans="1:13" ht="15" hidden="1">
      <c r="A24" s="7">
        <v>39753</v>
      </c>
      <c r="B24" s="37">
        <v>26824.4</v>
      </c>
      <c r="C24" s="33">
        <f t="shared" si="5"/>
        <v>134122</v>
      </c>
      <c r="D24" s="33">
        <v>791</v>
      </c>
      <c r="E24" s="33">
        <v>18349</v>
      </c>
      <c r="F24" s="33"/>
      <c r="G24" s="33">
        <f t="shared" si="1"/>
        <v>19140</v>
      </c>
      <c r="H24" s="33">
        <f t="shared" si="6"/>
        <v>107375</v>
      </c>
      <c r="I24" s="33">
        <f t="shared" si="2"/>
        <v>26747</v>
      </c>
      <c r="J24" s="33">
        <f>H24/5</f>
        <v>21475</v>
      </c>
      <c r="K24" s="30">
        <v>256</v>
      </c>
      <c r="L24" s="30">
        <v>252</v>
      </c>
      <c r="M24" s="29">
        <v>76</v>
      </c>
    </row>
    <row r="25" spans="1:13" ht="15" hidden="1">
      <c r="A25" s="7">
        <v>39783</v>
      </c>
      <c r="B25" s="38">
        <v>29777.14285714286</v>
      </c>
      <c r="C25" s="33">
        <f t="shared" si="5"/>
        <v>163899.14285714287</v>
      </c>
      <c r="D25" s="33">
        <v>1724</v>
      </c>
      <c r="E25" s="33">
        <v>20479</v>
      </c>
      <c r="F25" s="33"/>
      <c r="G25" s="33">
        <f t="shared" si="1"/>
        <v>22203</v>
      </c>
      <c r="H25" s="33">
        <f t="shared" si="6"/>
        <v>129578</v>
      </c>
      <c r="I25" s="33">
        <f t="shared" si="2"/>
        <v>34321.14285714287</v>
      </c>
      <c r="J25" s="33">
        <f>H25/6</f>
        <v>21596.333333333332</v>
      </c>
      <c r="K25" s="30">
        <v>280</v>
      </c>
      <c r="L25" s="30">
        <v>200</v>
      </c>
      <c r="M25" s="29">
        <v>71</v>
      </c>
    </row>
    <row r="26" spans="1:13" ht="15" hidden="1">
      <c r="A26" s="7">
        <v>39814</v>
      </c>
      <c r="B26" s="38">
        <v>29777.14285714286</v>
      </c>
      <c r="C26" s="33">
        <f t="shared" si="5"/>
        <v>193676.28571428574</v>
      </c>
      <c r="D26" s="33">
        <v>1379</v>
      </c>
      <c r="E26" s="33">
        <v>23100</v>
      </c>
      <c r="F26" s="33"/>
      <c r="G26" s="33">
        <f t="shared" si="1"/>
        <v>24479</v>
      </c>
      <c r="H26" s="33">
        <f t="shared" si="6"/>
        <v>154057</v>
      </c>
      <c r="I26" s="33">
        <f t="shared" si="2"/>
        <v>39619.28571428574</v>
      </c>
      <c r="J26" s="33">
        <f>H26/7</f>
        <v>22008.14285714286</v>
      </c>
      <c r="K26" s="30">
        <v>284</v>
      </c>
      <c r="L26" s="30">
        <v>255</v>
      </c>
      <c r="M26" s="29">
        <v>70</v>
      </c>
    </row>
    <row r="27" spans="1:13" ht="15" hidden="1">
      <c r="A27" s="7">
        <v>39845</v>
      </c>
      <c r="B27" s="38">
        <v>29777.14285714286</v>
      </c>
      <c r="C27" s="33">
        <f t="shared" si="5"/>
        <v>223453.4285714286</v>
      </c>
      <c r="D27" s="33">
        <v>1639</v>
      </c>
      <c r="E27" s="33">
        <v>22328</v>
      </c>
      <c r="F27" s="33"/>
      <c r="G27" s="33">
        <f t="shared" si="1"/>
        <v>23967</v>
      </c>
      <c r="H27" s="33">
        <f t="shared" si="6"/>
        <v>178024</v>
      </c>
      <c r="I27" s="33">
        <f t="shared" si="2"/>
        <v>45429.42857142861</v>
      </c>
      <c r="J27" s="33">
        <f>H27/8</f>
        <v>22253</v>
      </c>
      <c r="K27" s="30">
        <v>307</v>
      </c>
      <c r="L27" s="30">
        <v>266</v>
      </c>
      <c r="M27" s="29">
        <v>65</v>
      </c>
    </row>
    <row r="28" spans="1:13" ht="15" hidden="1">
      <c r="A28" s="7">
        <v>39873</v>
      </c>
      <c r="B28" s="38">
        <v>29777.14285714286</v>
      </c>
      <c r="C28" s="33">
        <f t="shared" si="5"/>
        <v>253230.57142857148</v>
      </c>
      <c r="D28" s="33">
        <v>1636</v>
      </c>
      <c r="E28" s="33">
        <v>26041</v>
      </c>
      <c r="F28" s="33"/>
      <c r="G28" s="33">
        <f t="shared" si="1"/>
        <v>27677</v>
      </c>
      <c r="H28" s="33">
        <f t="shared" si="6"/>
        <v>205701</v>
      </c>
      <c r="I28" s="33">
        <f t="shared" si="2"/>
        <v>47529.57142857148</v>
      </c>
      <c r="J28" s="33">
        <f>H28/9</f>
        <v>22855.666666666668</v>
      </c>
      <c r="K28" s="30">
        <v>299</v>
      </c>
      <c r="L28" s="30">
        <v>243</v>
      </c>
      <c r="M28" s="4">
        <v>60</v>
      </c>
    </row>
    <row r="29" spans="1:13" ht="15" hidden="1">
      <c r="A29" s="7">
        <v>39904</v>
      </c>
      <c r="B29" s="38">
        <v>29777.14285714286</v>
      </c>
      <c r="C29" s="33">
        <f t="shared" si="5"/>
        <v>283007.7142857143</v>
      </c>
      <c r="D29" s="33">
        <v>2756</v>
      </c>
      <c r="E29" s="33">
        <v>25872</v>
      </c>
      <c r="F29" s="33"/>
      <c r="G29" s="33">
        <f t="shared" si="1"/>
        <v>28628</v>
      </c>
      <c r="H29" s="33">
        <f t="shared" si="6"/>
        <v>234329</v>
      </c>
      <c r="I29" s="33">
        <f t="shared" si="2"/>
        <v>48678.71428571432</v>
      </c>
      <c r="J29" s="33">
        <f>H29/10</f>
        <v>23432.9</v>
      </c>
      <c r="K29" s="30">
        <v>301</v>
      </c>
      <c r="L29" s="30">
        <v>272</v>
      </c>
      <c r="M29" s="4">
        <v>62</v>
      </c>
    </row>
    <row r="30" spans="1:13" ht="15" hidden="1">
      <c r="A30" s="7">
        <v>39934</v>
      </c>
      <c r="B30" s="38">
        <v>29777.14285714286</v>
      </c>
      <c r="C30" s="33">
        <f t="shared" si="5"/>
        <v>312784.85714285716</v>
      </c>
      <c r="D30" s="33">
        <v>2676</v>
      </c>
      <c r="E30" s="33">
        <v>19754</v>
      </c>
      <c r="F30" s="33"/>
      <c r="G30" s="33">
        <f t="shared" si="1"/>
        <v>22430</v>
      </c>
      <c r="H30" s="33">
        <f t="shared" si="6"/>
        <v>256759</v>
      </c>
      <c r="I30" s="33">
        <f t="shared" si="2"/>
        <v>56025.85714285716</v>
      </c>
      <c r="J30" s="33">
        <f>H30/11</f>
        <v>23341.727272727272</v>
      </c>
      <c r="K30" s="30">
        <v>313</v>
      </c>
      <c r="L30" s="30">
        <v>271</v>
      </c>
      <c r="M30" s="4">
        <v>68</v>
      </c>
    </row>
    <row r="31" spans="1:13" ht="15.75" hidden="1" thickBot="1">
      <c r="A31" s="7">
        <v>39965</v>
      </c>
      <c r="B31" s="39">
        <v>29777.14285714286</v>
      </c>
      <c r="C31" s="34">
        <f t="shared" si="5"/>
        <v>342562</v>
      </c>
      <c r="D31" s="34">
        <v>1133</v>
      </c>
      <c r="E31" s="34">
        <v>25021</v>
      </c>
      <c r="F31" s="34"/>
      <c r="G31" s="34">
        <f t="shared" si="1"/>
        <v>26154</v>
      </c>
      <c r="H31" s="34">
        <f t="shared" si="6"/>
        <v>282913</v>
      </c>
      <c r="I31" s="34">
        <f t="shared" si="2"/>
        <v>59649</v>
      </c>
      <c r="J31" s="34">
        <f>H31/12</f>
        <v>23576.083333333332</v>
      </c>
      <c r="K31" s="40">
        <v>308</v>
      </c>
      <c r="L31" s="40">
        <v>232</v>
      </c>
      <c r="M31" s="41">
        <v>63</v>
      </c>
    </row>
    <row r="32" spans="1:13" ht="18" hidden="1">
      <c r="A32" s="7">
        <v>40725</v>
      </c>
      <c r="B32" s="37">
        <f aca="true" t="shared" si="7" ref="B32:B43">$B$85/12</f>
        <v>7959.25</v>
      </c>
      <c r="C32" s="33">
        <f>B32</f>
        <v>7959.25</v>
      </c>
      <c r="D32" s="33">
        <v>0</v>
      </c>
      <c r="E32" s="33">
        <v>1612</v>
      </c>
      <c r="F32" s="33">
        <v>0</v>
      </c>
      <c r="G32" s="33">
        <f aca="true" t="shared" si="8" ref="G32:G74">D32+E32+F32</f>
        <v>1612</v>
      </c>
      <c r="H32" s="33">
        <f>G32</f>
        <v>1612</v>
      </c>
      <c r="I32" s="33">
        <f t="shared" si="2"/>
        <v>6347.25</v>
      </c>
      <c r="J32" s="11">
        <f>H32</f>
        <v>1612</v>
      </c>
      <c r="K32" s="42">
        <v>447</v>
      </c>
      <c r="L32" s="42">
        <v>74</v>
      </c>
      <c r="M32" s="43">
        <v>50</v>
      </c>
    </row>
    <row r="33" spans="1:13" ht="18" hidden="1">
      <c r="A33" s="7">
        <v>40756</v>
      </c>
      <c r="B33" s="37">
        <f t="shared" si="7"/>
        <v>7959.25</v>
      </c>
      <c r="C33" s="33">
        <f aca="true" t="shared" si="9" ref="C33:C43">C32+B33</f>
        <v>15918.5</v>
      </c>
      <c r="D33" s="33">
        <v>0</v>
      </c>
      <c r="E33" s="33">
        <v>1478</v>
      </c>
      <c r="F33" s="33">
        <v>0</v>
      </c>
      <c r="G33" s="33">
        <f t="shared" si="8"/>
        <v>1478</v>
      </c>
      <c r="H33" s="33">
        <f aca="true" t="shared" si="10" ref="H33:H43">H32+G33</f>
        <v>3090</v>
      </c>
      <c r="I33" s="33">
        <f t="shared" si="2"/>
        <v>12828.5</v>
      </c>
      <c r="J33" s="11">
        <f>H33/2</f>
        <v>1545</v>
      </c>
      <c r="K33" s="42">
        <v>382</v>
      </c>
      <c r="L33" s="42">
        <v>120</v>
      </c>
      <c r="M33" s="43">
        <v>43</v>
      </c>
    </row>
    <row r="34" spans="1:13" ht="18" hidden="1">
      <c r="A34" s="7">
        <v>40787</v>
      </c>
      <c r="B34" s="37">
        <f t="shared" si="7"/>
        <v>7959.25</v>
      </c>
      <c r="C34" s="33">
        <f t="shared" si="9"/>
        <v>23877.75</v>
      </c>
      <c r="D34" s="33">
        <v>0</v>
      </c>
      <c r="E34" s="33">
        <f>1383-F34</f>
        <v>1428</v>
      </c>
      <c r="F34" s="33">
        <v>-45</v>
      </c>
      <c r="G34" s="33">
        <f t="shared" si="8"/>
        <v>1383</v>
      </c>
      <c r="H34" s="33">
        <f t="shared" si="10"/>
        <v>4473</v>
      </c>
      <c r="I34" s="33">
        <f t="shared" si="2"/>
        <v>19404.75</v>
      </c>
      <c r="J34" s="11">
        <f>H34/3</f>
        <v>1491</v>
      </c>
      <c r="K34" s="42">
        <v>399</v>
      </c>
      <c r="L34" s="42">
        <v>126</v>
      </c>
      <c r="M34" s="43">
        <v>45</v>
      </c>
    </row>
    <row r="35" spans="1:13" ht="18" hidden="1">
      <c r="A35" s="7">
        <v>40817</v>
      </c>
      <c r="B35" s="37">
        <f t="shared" si="7"/>
        <v>7959.25</v>
      </c>
      <c r="C35" s="33">
        <f t="shared" si="9"/>
        <v>31837</v>
      </c>
      <c r="D35" s="33">
        <v>0</v>
      </c>
      <c r="E35" s="33">
        <v>1624</v>
      </c>
      <c r="F35" s="33">
        <v>0</v>
      </c>
      <c r="G35" s="33">
        <f t="shared" si="8"/>
        <v>1624</v>
      </c>
      <c r="H35" s="33">
        <f t="shared" si="10"/>
        <v>6097</v>
      </c>
      <c r="I35" s="33">
        <f t="shared" si="2"/>
        <v>25740</v>
      </c>
      <c r="J35" s="11">
        <f>H35/4</f>
        <v>1524.25</v>
      </c>
      <c r="K35" s="42">
        <v>638</v>
      </c>
      <c r="L35" s="42">
        <v>140</v>
      </c>
      <c r="M35" s="43">
        <v>47</v>
      </c>
    </row>
    <row r="36" spans="1:13" ht="18" hidden="1">
      <c r="A36" s="7">
        <v>40848</v>
      </c>
      <c r="B36" s="37">
        <f t="shared" si="7"/>
        <v>7959.25</v>
      </c>
      <c r="C36" s="33">
        <f t="shared" si="9"/>
        <v>39796.25</v>
      </c>
      <c r="D36" s="33">
        <v>0</v>
      </c>
      <c r="E36" s="33">
        <v>2258</v>
      </c>
      <c r="F36" s="33">
        <v>0</v>
      </c>
      <c r="G36" s="33">
        <f t="shared" si="8"/>
        <v>2258</v>
      </c>
      <c r="H36" s="33">
        <f t="shared" si="10"/>
        <v>8355</v>
      </c>
      <c r="I36" s="33">
        <f t="shared" si="2"/>
        <v>31441.25</v>
      </c>
      <c r="J36" s="11">
        <f>H36/5</f>
        <v>1671</v>
      </c>
      <c r="K36" s="42">
        <v>572</v>
      </c>
      <c r="L36" s="42">
        <v>126</v>
      </c>
      <c r="M36" s="43">
        <v>41</v>
      </c>
    </row>
    <row r="37" spans="1:13" ht="18" hidden="1">
      <c r="A37" s="7">
        <v>40878</v>
      </c>
      <c r="B37" s="37">
        <f t="shared" si="7"/>
        <v>7959.25</v>
      </c>
      <c r="C37" s="33">
        <f t="shared" si="9"/>
        <v>47755.5</v>
      </c>
      <c r="D37" s="33">
        <v>0</v>
      </c>
      <c r="E37" s="33">
        <v>2518</v>
      </c>
      <c r="F37" s="33">
        <v>0</v>
      </c>
      <c r="G37" s="33">
        <f t="shared" si="8"/>
        <v>2518</v>
      </c>
      <c r="H37" s="33">
        <f t="shared" si="10"/>
        <v>10873</v>
      </c>
      <c r="I37" s="33">
        <f t="shared" si="2"/>
        <v>36882.5</v>
      </c>
      <c r="J37" s="11">
        <f>H37/6</f>
        <v>1812.1666666666667</v>
      </c>
      <c r="K37" s="42">
        <v>629</v>
      </c>
      <c r="L37" s="42">
        <v>125</v>
      </c>
      <c r="M37" s="43">
        <v>41</v>
      </c>
    </row>
    <row r="38" spans="1:13" ht="18" hidden="1">
      <c r="A38" s="7">
        <v>40909</v>
      </c>
      <c r="B38" s="37">
        <f t="shared" si="7"/>
        <v>7959.25</v>
      </c>
      <c r="C38" s="33">
        <f t="shared" si="9"/>
        <v>55714.75</v>
      </c>
      <c r="D38" s="33">
        <v>0</v>
      </c>
      <c r="E38" s="33">
        <v>2870</v>
      </c>
      <c r="F38" s="33">
        <v>0</v>
      </c>
      <c r="G38" s="33">
        <f t="shared" si="8"/>
        <v>2870</v>
      </c>
      <c r="H38" s="33">
        <f t="shared" si="10"/>
        <v>13743</v>
      </c>
      <c r="I38" s="33">
        <f t="shared" si="2"/>
        <v>41971.75</v>
      </c>
      <c r="J38" s="11">
        <f>H38/7</f>
        <v>1963.2857142857142</v>
      </c>
      <c r="K38" s="42">
        <v>507</v>
      </c>
      <c r="L38" s="42">
        <v>123</v>
      </c>
      <c r="M38" s="43">
        <v>40</v>
      </c>
    </row>
    <row r="39" spans="1:13" ht="18" hidden="1">
      <c r="A39" s="7">
        <v>40940</v>
      </c>
      <c r="B39" s="37">
        <f t="shared" si="7"/>
        <v>7959.25</v>
      </c>
      <c r="C39" s="33">
        <f t="shared" si="9"/>
        <v>63674</v>
      </c>
      <c r="D39" s="33">
        <v>0</v>
      </c>
      <c r="E39" s="33">
        <v>2611</v>
      </c>
      <c r="F39" s="33">
        <v>0</v>
      </c>
      <c r="G39" s="33">
        <f t="shared" si="8"/>
        <v>2611</v>
      </c>
      <c r="H39" s="33">
        <f t="shared" si="10"/>
        <v>16354</v>
      </c>
      <c r="I39" s="33">
        <f t="shared" si="2"/>
        <v>47320</v>
      </c>
      <c r="J39" s="11">
        <f>H39/8</f>
        <v>2044.25</v>
      </c>
      <c r="K39" s="42">
        <v>504</v>
      </c>
      <c r="L39" s="42">
        <v>144</v>
      </c>
      <c r="M39" s="43">
        <v>36</v>
      </c>
    </row>
    <row r="40" spans="1:13" ht="18" hidden="1">
      <c r="A40" s="7">
        <v>40969</v>
      </c>
      <c r="B40" s="37">
        <f t="shared" si="7"/>
        <v>7959.25</v>
      </c>
      <c r="C40" s="33">
        <f t="shared" si="9"/>
        <v>71633.25</v>
      </c>
      <c r="D40" s="33">
        <v>0</v>
      </c>
      <c r="E40" s="33">
        <v>3404</v>
      </c>
      <c r="F40" s="33">
        <v>0</v>
      </c>
      <c r="G40" s="33">
        <f t="shared" si="8"/>
        <v>3404</v>
      </c>
      <c r="H40" s="33">
        <f t="shared" si="10"/>
        <v>19758</v>
      </c>
      <c r="I40" s="33">
        <f aca="true" t="shared" si="11" ref="I40:I59">C40-H40</f>
        <v>51875.25</v>
      </c>
      <c r="J40" s="11">
        <f>H40/9</f>
        <v>2195.3333333333335</v>
      </c>
      <c r="K40" s="42">
        <v>494</v>
      </c>
      <c r="L40" s="42">
        <v>140</v>
      </c>
      <c r="M40" s="43">
        <v>44</v>
      </c>
    </row>
    <row r="41" spans="1:13" ht="18" hidden="1">
      <c r="A41" s="7">
        <v>41000</v>
      </c>
      <c r="B41" s="37">
        <f t="shared" si="7"/>
        <v>7959.25</v>
      </c>
      <c r="C41" s="33">
        <f t="shared" si="9"/>
        <v>79592.5</v>
      </c>
      <c r="D41" s="33">
        <v>0</v>
      </c>
      <c r="E41" s="33">
        <v>4525</v>
      </c>
      <c r="F41" s="33">
        <v>0</v>
      </c>
      <c r="G41" s="33">
        <f t="shared" si="8"/>
        <v>4525</v>
      </c>
      <c r="H41" s="33">
        <f t="shared" si="10"/>
        <v>24283</v>
      </c>
      <c r="I41" s="33">
        <f t="shared" si="11"/>
        <v>55309.5</v>
      </c>
      <c r="J41" s="11">
        <f>H41/10</f>
        <v>2428.3</v>
      </c>
      <c r="K41" s="42">
        <v>570</v>
      </c>
      <c r="L41" s="42">
        <v>134</v>
      </c>
      <c r="M41" s="43">
        <v>36</v>
      </c>
    </row>
    <row r="42" spans="1:13" ht="18" hidden="1">
      <c r="A42" s="7">
        <v>41030</v>
      </c>
      <c r="B42" s="37">
        <f t="shared" si="7"/>
        <v>7959.25</v>
      </c>
      <c r="C42" s="33">
        <f t="shared" si="9"/>
        <v>87551.75</v>
      </c>
      <c r="D42" s="33">
        <v>0</v>
      </c>
      <c r="E42" s="33">
        <v>3542</v>
      </c>
      <c r="F42" s="33">
        <v>0</v>
      </c>
      <c r="G42" s="33">
        <f t="shared" si="8"/>
        <v>3542</v>
      </c>
      <c r="H42" s="33">
        <f t="shared" si="10"/>
        <v>27825</v>
      </c>
      <c r="I42" s="33">
        <f t="shared" si="11"/>
        <v>59726.75</v>
      </c>
      <c r="J42" s="11">
        <f>H42/11</f>
        <v>2529.5454545454545</v>
      </c>
      <c r="K42" s="42">
        <v>487</v>
      </c>
      <c r="L42" s="42">
        <v>136</v>
      </c>
      <c r="M42" s="43">
        <v>0</v>
      </c>
    </row>
    <row r="43" spans="1:13" ht="18.75" hidden="1" thickBot="1">
      <c r="A43" s="7">
        <v>41061</v>
      </c>
      <c r="B43" s="39">
        <f t="shared" si="7"/>
        <v>7959.25</v>
      </c>
      <c r="C43" s="34">
        <f t="shared" si="9"/>
        <v>95511</v>
      </c>
      <c r="D43" s="34">
        <v>0</v>
      </c>
      <c r="E43" s="34">
        <v>4843</v>
      </c>
      <c r="F43" s="34">
        <v>0</v>
      </c>
      <c r="G43" s="34">
        <f t="shared" si="8"/>
        <v>4843</v>
      </c>
      <c r="H43" s="34">
        <f t="shared" si="10"/>
        <v>32668</v>
      </c>
      <c r="I43" s="34">
        <f t="shared" si="11"/>
        <v>62843</v>
      </c>
      <c r="J43" s="12">
        <f>H43/12</f>
        <v>2722.3333333333335</v>
      </c>
      <c r="K43" s="40">
        <v>474</v>
      </c>
      <c r="L43" s="40">
        <v>104</v>
      </c>
      <c r="M43" s="41">
        <v>0</v>
      </c>
    </row>
    <row r="44" spans="1:13" ht="15" hidden="1">
      <c r="A44" s="7">
        <v>41091</v>
      </c>
      <c r="B44" s="37">
        <f aca="true" t="shared" si="12" ref="B44:B55">$B$86/12</f>
        <v>12818.75</v>
      </c>
      <c r="C44" s="33">
        <f>B44</f>
        <v>12818.75</v>
      </c>
      <c r="D44" s="33">
        <v>0</v>
      </c>
      <c r="E44" s="33">
        <v>3586</v>
      </c>
      <c r="F44" s="33">
        <v>0</v>
      </c>
      <c r="G44" s="33">
        <f t="shared" si="8"/>
        <v>3586</v>
      </c>
      <c r="H44" s="33">
        <f>G44</f>
        <v>3586</v>
      </c>
      <c r="I44" s="33">
        <f t="shared" si="11"/>
        <v>9232.75</v>
      </c>
      <c r="J44" s="33">
        <f>H44/1</f>
        <v>3586</v>
      </c>
      <c r="K44" s="42">
        <v>464</v>
      </c>
      <c r="L44" s="42">
        <v>81</v>
      </c>
      <c r="M44" s="43"/>
    </row>
    <row r="45" spans="1:13" ht="15" hidden="1">
      <c r="A45" s="7">
        <v>41122</v>
      </c>
      <c r="B45" s="37">
        <f t="shared" si="12"/>
        <v>12818.75</v>
      </c>
      <c r="C45" s="33">
        <f aca="true" t="shared" si="13" ref="C45:C55">C44+B45</f>
        <v>25637.5</v>
      </c>
      <c r="D45" s="33">
        <v>0</v>
      </c>
      <c r="E45" s="33">
        <v>3504</v>
      </c>
      <c r="F45" s="33">
        <v>0</v>
      </c>
      <c r="G45" s="33">
        <f t="shared" si="8"/>
        <v>3504</v>
      </c>
      <c r="H45" s="33">
        <f aca="true" t="shared" si="14" ref="H45:H55">H44+G45</f>
        <v>7090</v>
      </c>
      <c r="I45" s="33">
        <f t="shared" si="11"/>
        <v>18547.5</v>
      </c>
      <c r="J45" s="33">
        <f>H45/2</f>
        <v>3545</v>
      </c>
      <c r="K45" s="42">
        <v>467</v>
      </c>
      <c r="L45" s="42">
        <v>75</v>
      </c>
      <c r="M45" s="43"/>
    </row>
    <row r="46" spans="1:13" ht="15" hidden="1">
      <c r="A46" s="7">
        <v>41153</v>
      </c>
      <c r="B46" s="37">
        <f t="shared" si="12"/>
        <v>12818.75</v>
      </c>
      <c r="C46" s="33">
        <f t="shared" si="13"/>
        <v>38456.25</v>
      </c>
      <c r="D46" s="33">
        <v>0</v>
      </c>
      <c r="E46" s="33">
        <v>658</v>
      </c>
      <c r="F46" s="33">
        <v>0</v>
      </c>
      <c r="G46" s="33">
        <f t="shared" si="8"/>
        <v>658</v>
      </c>
      <c r="H46" s="33">
        <f t="shared" si="14"/>
        <v>7748</v>
      </c>
      <c r="I46" s="33">
        <f t="shared" si="11"/>
        <v>30708.25</v>
      </c>
      <c r="J46" s="33">
        <f>H46/3</f>
        <v>2582.6666666666665</v>
      </c>
      <c r="K46" s="42">
        <v>456</v>
      </c>
      <c r="L46" s="42">
        <v>108</v>
      </c>
      <c r="M46" s="43"/>
    </row>
    <row r="47" spans="1:13" ht="15" hidden="1">
      <c r="A47" s="7">
        <v>41183</v>
      </c>
      <c r="B47" s="37">
        <f t="shared" si="12"/>
        <v>12818.75</v>
      </c>
      <c r="C47" s="33">
        <f t="shared" si="13"/>
        <v>51275</v>
      </c>
      <c r="D47" s="33">
        <v>0</v>
      </c>
      <c r="E47" s="33">
        <v>4008</v>
      </c>
      <c r="F47" s="33">
        <v>0</v>
      </c>
      <c r="G47" s="33">
        <f t="shared" si="8"/>
        <v>4008</v>
      </c>
      <c r="H47" s="33">
        <f t="shared" si="14"/>
        <v>11756</v>
      </c>
      <c r="I47" s="33">
        <f t="shared" si="11"/>
        <v>39519</v>
      </c>
      <c r="J47" s="33">
        <f>H47/4</f>
        <v>2939</v>
      </c>
      <c r="K47" s="42">
        <v>477</v>
      </c>
      <c r="L47" s="42">
        <v>121</v>
      </c>
      <c r="M47" s="43"/>
    </row>
    <row r="48" spans="1:13" ht="15" hidden="1">
      <c r="A48" s="7">
        <v>41214</v>
      </c>
      <c r="B48" s="37">
        <f t="shared" si="12"/>
        <v>12818.75</v>
      </c>
      <c r="C48" s="33">
        <f t="shared" si="13"/>
        <v>64093.75</v>
      </c>
      <c r="D48" s="33">
        <v>0</v>
      </c>
      <c r="E48" s="33">
        <v>2017</v>
      </c>
      <c r="F48" s="33">
        <v>0</v>
      </c>
      <c r="G48" s="33">
        <f t="shared" si="8"/>
        <v>2017</v>
      </c>
      <c r="H48" s="33">
        <f t="shared" si="14"/>
        <v>13773</v>
      </c>
      <c r="I48" s="33">
        <f t="shared" si="11"/>
        <v>50320.75</v>
      </c>
      <c r="J48" s="33">
        <f>H48/5</f>
        <v>2754.6</v>
      </c>
      <c r="K48" s="42">
        <v>454</v>
      </c>
      <c r="L48" s="42">
        <v>135</v>
      </c>
      <c r="M48" s="43"/>
    </row>
    <row r="49" spans="1:13" ht="15" hidden="1">
      <c r="A49" s="7">
        <v>41244</v>
      </c>
      <c r="B49" s="37">
        <f t="shared" si="12"/>
        <v>12818.75</v>
      </c>
      <c r="C49" s="33">
        <f t="shared" si="13"/>
        <v>76912.5</v>
      </c>
      <c r="D49" s="33">
        <v>0</v>
      </c>
      <c r="E49" s="33">
        <v>3909</v>
      </c>
      <c r="F49" s="33">
        <v>0</v>
      </c>
      <c r="G49" s="33">
        <f t="shared" si="8"/>
        <v>3909</v>
      </c>
      <c r="H49" s="33">
        <f t="shared" si="14"/>
        <v>17682</v>
      </c>
      <c r="I49" s="33">
        <f t="shared" si="11"/>
        <v>59230.5</v>
      </c>
      <c r="J49" s="33">
        <f>H49/6</f>
        <v>2947</v>
      </c>
      <c r="K49" s="42"/>
      <c r="L49" s="42"/>
      <c r="M49" s="43"/>
    </row>
    <row r="50" spans="1:13" ht="15" hidden="1">
      <c r="A50" s="7">
        <v>41275</v>
      </c>
      <c r="B50" s="37">
        <f t="shared" si="12"/>
        <v>12818.75</v>
      </c>
      <c r="C50" s="33">
        <f t="shared" si="13"/>
        <v>89731.25</v>
      </c>
      <c r="D50" s="33">
        <v>0</v>
      </c>
      <c r="E50" s="33">
        <v>4155</v>
      </c>
      <c r="F50" s="33">
        <v>0</v>
      </c>
      <c r="G50" s="33">
        <f t="shared" si="8"/>
        <v>4155</v>
      </c>
      <c r="H50" s="33">
        <f t="shared" si="14"/>
        <v>21837</v>
      </c>
      <c r="I50" s="33">
        <f t="shared" si="11"/>
        <v>67894.25</v>
      </c>
      <c r="J50" s="33">
        <f>H50/7</f>
        <v>3119.5714285714284</v>
      </c>
      <c r="K50" s="42"/>
      <c r="L50" s="42"/>
      <c r="M50" s="43"/>
    </row>
    <row r="51" spans="1:13" ht="15" hidden="1">
      <c r="A51" s="7">
        <v>41306</v>
      </c>
      <c r="B51" s="37">
        <f t="shared" si="12"/>
        <v>12818.75</v>
      </c>
      <c r="C51" s="33">
        <f t="shared" si="13"/>
        <v>102550</v>
      </c>
      <c r="D51" s="33">
        <v>0</v>
      </c>
      <c r="E51" s="33">
        <v>4143</v>
      </c>
      <c r="F51" s="33">
        <v>0</v>
      </c>
      <c r="G51" s="33">
        <f t="shared" si="8"/>
        <v>4143</v>
      </c>
      <c r="H51" s="33">
        <f t="shared" si="14"/>
        <v>25980</v>
      </c>
      <c r="I51" s="33">
        <f t="shared" si="11"/>
        <v>76570</v>
      </c>
      <c r="J51" s="33">
        <f>H51/8</f>
        <v>3247.5</v>
      </c>
      <c r="K51" s="42"/>
      <c r="L51" s="42"/>
      <c r="M51" s="43"/>
    </row>
    <row r="52" spans="1:13" ht="15" hidden="1">
      <c r="A52" s="7">
        <v>41334</v>
      </c>
      <c r="B52" s="37">
        <f t="shared" si="12"/>
        <v>12818.75</v>
      </c>
      <c r="C52" s="33">
        <f t="shared" si="13"/>
        <v>115368.75</v>
      </c>
      <c r="D52" s="33">
        <v>0</v>
      </c>
      <c r="E52" s="33">
        <v>6990</v>
      </c>
      <c r="F52" s="33">
        <v>0</v>
      </c>
      <c r="G52" s="33">
        <f t="shared" si="8"/>
        <v>6990</v>
      </c>
      <c r="H52" s="33">
        <f t="shared" si="14"/>
        <v>32970</v>
      </c>
      <c r="I52" s="33">
        <f t="shared" si="11"/>
        <v>82398.75</v>
      </c>
      <c r="J52" s="33">
        <f>H52/9</f>
        <v>3663.3333333333335</v>
      </c>
      <c r="K52" s="42"/>
      <c r="L52" s="42"/>
      <c r="M52" s="43"/>
    </row>
    <row r="53" spans="1:13" ht="15" hidden="1">
      <c r="A53" s="7">
        <v>41365</v>
      </c>
      <c r="B53" s="37">
        <f t="shared" si="12"/>
        <v>12818.75</v>
      </c>
      <c r="C53" s="33">
        <f t="shared" si="13"/>
        <v>128187.5</v>
      </c>
      <c r="D53" s="33">
        <v>61</v>
      </c>
      <c r="E53" s="33">
        <v>6925</v>
      </c>
      <c r="F53" s="33">
        <v>0</v>
      </c>
      <c r="G53" s="33">
        <f t="shared" si="8"/>
        <v>6986</v>
      </c>
      <c r="H53" s="33">
        <f t="shared" si="14"/>
        <v>39956</v>
      </c>
      <c r="I53" s="33">
        <f t="shared" si="11"/>
        <v>88231.5</v>
      </c>
      <c r="J53" s="33">
        <f>H53/10</f>
        <v>3995.6</v>
      </c>
      <c r="K53" s="42"/>
      <c r="L53" s="42"/>
      <c r="M53" s="43"/>
    </row>
    <row r="54" spans="1:13" ht="15" hidden="1">
      <c r="A54" s="7">
        <v>41395</v>
      </c>
      <c r="B54" s="37">
        <f t="shared" si="12"/>
        <v>12818.75</v>
      </c>
      <c r="C54" s="33">
        <f t="shared" si="13"/>
        <v>141006.25</v>
      </c>
      <c r="D54" s="33">
        <v>0</v>
      </c>
      <c r="E54" s="33">
        <v>6348</v>
      </c>
      <c r="F54" s="33">
        <v>0</v>
      </c>
      <c r="G54" s="33">
        <f t="shared" si="8"/>
        <v>6348</v>
      </c>
      <c r="H54" s="33">
        <f t="shared" si="14"/>
        <v>46304</v>
      </c>
      <c r="I54" s="33">
        <f t="shared" si="11"/>
        <v>94702.25</v>
      </c>
      <c r="J54" s="33">
        <f>H54/11</f>
        <v>4209.454545454545</v>
      </c>
      <c r="K54" s="42"/>
      <c r="L54" s="42"/>
      <c r="M54" s="43"/>
    </row>
    <row r="55" spans="1:13" ht="15.75" hidden="1" thickBot="1">
      <c r="A55" s="7">
        <v>41426</v>
      </c>
      <c r="B55" s="39">
        <f t="shared" si="12"/>
        <v>12818.75</v>
      </c>
      <c r="C55" s="34">
        <f t="shared" si="13"/>
        <v>153825</v>
      </c>
      <c r="D55" s="34">
        <v>0</v>
      </c>
      <c r="E55" s="34">
        <v>4474</v>
      </c>
      <c r="F55" s="34">
        <v>0</v>
      </c>
      <c r="G55" s="34">
        <f t="shared" si="8"/>
        <v>4474</v>
      </c>
      <c r="H55" s="34">
        <f t="shared" si="14"/>
        <v>50778</v>
      </c>
      <c r="I55" s="34">
        <f t="shared" si="11"/>
        <v>103047</v>
      </c>
      <c r="J55" s="34">
        <f>H55/12</f>
        <v>4231.5</v>
      </c>
      <c r="K55" s="40"/>
      <c r="L55" s="40"/>
      <c r="M55" s="41"/>
    </row>
    <row r="56" spans="1:13" ht="15" hidden="1">
      <c r="A56" s="7">
        <v>41456</v>
      </c>
      <c r="B56" s="37">
        <f>$B$91/24</f>
        <v>8161.083333333333</v>
      </c>
      <c r="C56" s="33">
        <f>B56</f>
        <v>8161.083333333333</v>
      </c>
      <c r="D56" s="33">
        <v>0</v>
      </c>
      <c r="E56" s="33">
        <v>5061</v>
      </c>
      <c r="F56" s="33">
        <v>0</v>
      </c>
      <c r="G56" s="33">
        <f t="shared" si="8"/>
        <v>5061</v>
      </c>
      <c r="H56" s="33">
        <f>G56</f>
        <v>5061</v>
      </c>
      <c r="I56" s="33">
        <f t="shared" si="11"/>
        <v>3100.083333333333</v>
      </c>
      <c r="J56" s="33">
        <f>H56</f>
        <v>5061</v>
      </c>
      <c r="K56" s="42">
        <v>427</v>
      </c>
      <c r="L56" s="42">
        <v>155</v>
      </c>
      <c r="M56" s="43"/>
    </row>
    <row r="57" spans="1:13" ht="15" hidden="1">
      <c r="A57" s="7">
        <v>41487</v>
      </c>
      <c r="B57" s="37">
        <f aca="true" t="shared" si="15" ref="B57:B79">$B$91/24</f>
        <v>8161.083333333333</v>
      </c>
      <c r="C57" s="33">
        <f aca="true" t="shared" si="16" ref="C57:C79">C56+B57</f>
        <v>16322.166666666666</v>
      </c>
      <c r="D57" s="33">
        <v>0</v>
      </c>
      <c r="E57" s="33">
        <v>2957</v>
      </c>
      <c r="F57" s="33">
        <v>0</v>
      </c>
      <c r="G57" s="33">
        <f t="shared" si="8"/>
        <v>2957</v>
      </c>
      <c r="H57" s="33">
        <f aca="true" t="shared" si="17" ref="H57:H62">G57+H56</f>
        <v>8018</v>
      </c>
      <c r="I57" s="33">
        <f t="shared" si="11"/>
        <v>8304.166666666666</v>
      </c>
      <c r="J57" s="33">
        <f>H57/2</f>
        <v>4009</v>
      </c>
      <c r="K57" s="42">
        <v>417</v>
      </c>
      <c r="L57" s="42">
        <v>125</v>
      </c>
      <c r="M57" s="43"/>
    </row>
    <row r="58" spans="1:13" ht="15" hidden="1">
      <c r="A58" s="7">
        <v>41518</v>
      </c>
      <c r="B58" s="37">
        <f t="shared" si="15"/>
        <v>8161.083333333333</v>
      </c>
      <c r="C58" s="33">
        <f t="shared" si="16"/>
        <v>24483.25</v>
      </c>
      <c r="D58" s="33">
        <v>0</v>
      </c>
      <c r="E58" s="33">
        <v>1976</v>
      </c>
      <c r="F58" s="33">
        <v>0</v>
      </c>
      <c r="G58" s="33">
        <f t="shared" si="8"/>
        <v>1976</v>
      </c>
      <c r="H58" s="33">
        <f t="shared" si="17"/>
        <v>9994</v>
      </c>
      <c r="I58" s="33">
        <f t="shared" si="11"/>
        <v>14489.25</v>
      </c>
      <c r="J58" s="33">
        <f>H58/3</f>
        <v>3331.3333333333335</v>
      </c>
      <c r="K58" s="42">
        <v>384</v>
      </c>
      <c r="L58" s="42">
        <v>160</v>
      </c>
      <c r="M58" s="43"/>
    </row>
    <row r="59" spans="1:13" ht="15" hidden="1">
      <c r="A59" s="7">
        <v>41548</v>
      </c>
      <c r="B59" s="37">
        <f t="shared" si="15"/>
        <v>8161.083333333333</v>
      </c>
      <c r="C59" s="33">
        <f t="shared" si="16"/>
        <v>32644.333333333332</v>
      </c>
      <c r="D59" s="33">
        <v>0</v>
      </c>
      <c r="E59" s="33">
        <v>2875.75</v>
      </c>
      <c r="F59" s="33">
        <v>0</v>
      </c>
      <c r="G59" s="33">
        <f t="shared" si="8"/>
        <v>2875.75</v>
      </c>
      <c r="H59" s="33">
        <f t="shared" si="17"/>
        <v>12869.75</v>
      </c>
      <c r="I59" s="33">
        <f t="shared" si="11"/>
        <v>19774.583333333332</v>
      </c>
      <c r="J59" s="33">
        <f>H59/4</f>
        <v>3217.4375</v>
      </c>
      <c r="K59" s="42">
        <v>377</v>
      </c>
      <c r="L59" s="42">
        <v>120</v>
      </c>
      <c r="M59" s="43"/>
    </row>
    <row r="60" spans="1:13" ht="15" hidden="1">
      <c r="A60" s="7">
        <v>41579</v>
      </c>
      <c r="B60" s="37">
        <f t="shared" si="15"/>
        <v>8161.083333333333</v>
      </c>
      <c r="C60" s="33">
        <f t="shared" si="16"/>
        <v>40805.416666666664</v>
      </c>
      <c r="D60" s="33">
        <v>0</v>
      </c>
      <c r="E60" s="33">
        <v>2500.97</v>
      </c>
      <c r="F60" s="33">
        <v>0</v>
      </c>
      <c r="G60" s="33">
        <f t="shared" si="8"/>
        <v>2500.97</v>
      </c>
      <c r="H60" s="33">
        <f t="shared" si="17"/>
        <v>15370.72</v>
      </c>
      <c r="I60" s="33">
        <f aca="true" t="shared" si="18" ref="I60:I65">C60-H60</f>
        <v>25434.696666666663</v>
      </c>
      <c r="J60" s="33">
        <f>H60/5</f>
        <v>3074.144</v>
      </c>
      <c r="K60" s="42">
        <v>371</v>
      </c>
      <c r="L60" s="42">
        <v>151</v>
      </c>
      <c r="M60" s="43"/>
    </row>
    <row r="61" spans="1:13" ht="15" hidden="1">
      <c r="A61" s="7">
        <v>41609</v>
      </c>
      <c r="B61" s="37">
        <f t="shared" si="15"/>
        <v>8161.083333333333</v>
      </c>
      <c r="C61" s="33">
        <f t="shared" si="16"/>
        <v>48966.5</v>
      </c>
      <c r="D61" s="33">
        <v>0</v>
      </c>
      <c r="E61" s="33">
        <v>2380.95</v>
      </c>
      <c r="F61" s="33">
        <v>0</v>
      </c>
      <c r="G61" s="33">
        <f t="shared" si="8"/>
        <v>2380.95</v>
      </c>
      <c r="H61" s="33">
        <f t="shared" si="17"/>
        <v>17751.67</v>
      </c>
      <c r="I61" s="33">
        <f t="shared" si="18"/>
        <v>31214.83</v>
      </c>
      <c r="J61" s="33">
        <f>H61/6</f>
        <v>2958.611666666666</v>
      </c>
      <c r="K61" s="42">
        <v>372</v>
      </c>
      <c r="L61" s="42">
        <v>153</v>
      </c>
      <c r="M61" s="43"/>
    </row>
    <row r="62" spans="1:13" ht="15" hidden="1">
      <c r="A62" s="7">
        <v>41640</v>
      </c>
      <c r="B62" s="37">
        <f t="shared" si="15"/>
        <v>8161.083333333333</v>
      </c>
      <c r="C62" s="33">
        <f t="shared" si="16"/>
        <v>57127.583333333336</v>
      </c>
      <c r="D62" s="33">
        <v>0</v>
      </c>
      <c r="E62" s="33">
        <v>3194.92</v>
      </c>
      <c r="F62" s="33">
        <v>0</v>
      </c>
      <c r="G62" s="33">
        <f t="shared" si="8"/>
        <v>3194.92</v>
      </c>
      <c r="H62" s="33">
        <f t="shared" si="17"/>
        <v>20946.589999999997</v>
      </c>
      <c r="I62" s="33">
        <f t="shared" si="18"/>
        <v>36180.99333333334</v>
      </c>
      <c r="J62" s="33">
        <f>H62/7</f>
        <v>2992.3699999999994</v>
      </c>
      <c r="K62" s="42">
        <v>385</v>
      </c>
      <c r="L62" s="42">
        <v>194</v>
      </c>
      <c r="M62" s="43"/>
    </row>
    <row r="63" spans="1:13" ht="15" hidden="1">
      <c r="A63" s="7">
        <v>41671</v>
      </c>
      <c r="B63" s="37">
        <f t="shared" si="15"/>
        <v>8161.083333333333</v>
      </c>
      <c r="C63" s="33">
        <f t="shared" si="16"/>
        <v>65288.66666666667</v>
      </c>
      <c r="D63" s="33">
        <v>0</v>
      </c>
      <c r="E63" s="33">
        <v>3916.27</v>
      </c>
      <c r="F63" s="33">
        <v>0</v>
      </c>
      <c r="G63" s="33">
        <f t="shared" si="8"/>
        <v>3916.27</v>
      </c>
      <c r="H63" s="33">
        <f aca="true" t="shared" si="19" ref="H63:H68">G63+H62</f>
        <v>24862.859999999997</v>
      </c>
      <c r="I63" s="33">
        <f t="shared" si="18"/>
        <v>40425.80666666667</v>
      </c>
      <c r="J63" s="33">
        <f>H63/8</f>
        <v>3107.8574999999996</v>
      </c>
      <c r="K63" s="42">
        <v>414</v>
      </c>
      <c r="L63" s="42">
        <v>199</v>
      </c>
      <c r="M63" s="43"/>
    </row>
    <row r="64" spans="1:13" ht="15" hidden="1">
      <c r="A64" s="7">
        <v>41699</v>
      </c>
      <c r="B64" s="37">
        <f t="shared" si="15"/>
        <v>8161.083333333333</v>
      </c>
      <c r="C64" s="33">
        <f t="shared" si="16"/>
        <v>73449.75</v>
      </c>
      <c r="D64" s="33">
        <v>0</v>
      </c>
      <c r="E64" s="33">
        <v>5015.17</v>
      </c>
      <c r="F64" s="33">
        <v>0</v>
      </c>
      <c r="G64" s="33">
        <f t="shared" si="8"/>
        <v>5015.17</v>
      </c>
      <c r="H64" s="33">
        <f t="shared" si="19"/>
        <v>29878.03</v>
      </c>
      <c r="I64" s="33">
        <f t="shared" si="18"/>
        <v>43571.72</v>
      </c>
      <c r="J64" s="33">
        <f>H64/9</f>
        <v>3319.781111111111</v>
      </c>
      <c r="K64" s="42">
        <v>378</v>
      </c>
      <c r="L64" s="42">
        <v>240</v>
      </c>
      <c r="M64" s="43"/>
    </row>
    <row r="65" spans="1:13" ht="15" hidden="1">
      <c r="A65" s="7">
        <v>41730</v>
      </c>
      <c r="B65" s="37">
        <f t="shared" si="15"/>
        <v>8161.083333333333</v>
      </c>
      <c r="C65" s="33">
        <f t="shared" si="16"/>
        <v>81610.83333333333</v>
      </c>
      <c r="D65" s="33">
        <v>0</v>
      </c>
      <c r="E65" s="33">
        <v>9468.87</v>
      </c>
      <c r="F65" s="33">
        <v>0</v>
      </c>
      <c r="G65" s="33">
        <f t="shared" si="8"/>
        <v>9468.87</v>
      </c>
      <c r="H65" s="33">
        <f t="shared" si="19"/>
        <v>39346.9</v>
      </c>
      <c r="I65" s="33">
        <f t="shared" si="18"/>
        <v>42263.93333333333</v>
      </c>
      <c r="J65" s="33">
        <f>H65/10</f>
        <v>3934.69</v>
      </c>
      <c r="K65" s="42">
        <v>388</v>
      </c>
      <c r="L65" s="42">
        <v>219</v>
      </c>
      <c r="M65" s="43"/>
    </row>
    <row r="66" spans="1:13" ht="15" hidden="1">
      <c r="A66" s="7">
        <v>41760</v>
      </c>
      <c r="B66" s="37">
        <f t="shared" si="15"/>
        <v>8161.083333333333</v>
      </c>
      <c r="C66" s="33">
        <f t="shared" si="16"/>
        <v>89771.91666666666</v>
      </c>
      <c r="D66" s="33">
        <v>0</v>
      </c>
      <c r="E66" s="33">
        <v>7817.89</v>
      </c>
      <c r="F66" s="33">
        <v>0</v>
      </c>
      <c r="G66" s="33">
        <f t="shared" si="8"/>
        <v>7817.89</v>
      </c>
      <c r="H66" s="33">
        <f t="shared" si="19"/>
        <v>47164.79</v>
      </c>
      <c r="I66" s="33">
        <f aca="true" t="shared" si="20" ref="I66:I71">C66-H66</f>
        <v>42607.126666666656</v>
      </c>
      <c r="J66" s="33">
        <f>H66/11</f>
        <v>4287.708181818182</v>
      </c>
      <c r="K66" s="42">
        <v>365</v>
      </c>
      <c r="L66" s="42">
        <v>228</v>
      </c>
      <c r="M66" s="43"/>
    </row>
    <row r="67" spans="1:13" ht="15" hidden="1">
      <c r="A67" s="7">
        <v>41791</v>
      </c>
      <c r="B67" s="37">
        <f t="shared" si="15"/>
        <v>8161.083333333333</v>
      </c>
      <c r="C67" s="33">
        <f t="shared" si="16"/>
        <v>97932.99999999999</v>
      </c>
      <c r="D67" s="33">
        <v>0</v>
      </c>
      <c r="E67" s="33">
        <v>7894</v>
      </c>
      <c r="F67" s="33">
        <v>0</v>
      </c>
      <c r="G67" s="33">
        <f t="shared" si="8"/>
        <v>7894</v>
      </c>
      <c r="H67" s="33">
        <f t="shared" si="19"/>
        <v>55058.79</v>
      </c>
      <c r="I67" s="33">
        <f t="shared" si="20"/>
        <v>42874.209999999985</v>
      </c>
      <c r="J67" s="33">
        <f>H67/12</f>
        <v>4588.2325</v>
      </c>
      <c r="K67" s="42">
        <v>342</v>
      </c>
      <c r="L67" s="42">
        <v>191</v>
      </c>
      <c r="M67" s="43"/>
    </row>
    <row r="68" spans="1:13" ht="15">
      <c r="A68" s="7">
        <v>41821</v>
      </c>
      <c r="B68" s="37">
        <f t="shared" si="15"/>
        <v>8161.083333333333</v>
      </c>
      <c r="C68" s="33">
        <f t="shared" si="16"/>
        <v>106094.08333333331</v>
      </c>
      <c r="D68" s="33">
        <v>0</v>
      </c>
      <c r="E68" s="33">
        <v>10181</v>
      </c>
      <c r="F68" s="33">
        <v>0</v>
      </c>
      <c r="G68" s="33">
        <f t="shared" si="8"/>
        <v>10181</v>
      </c>
      <c r="H68" s="33">
        <f t="shared" si="19"/>
        <v>65239.79</v>
      </c>
      <c r="I68" s="33">
        <f t="shared" si="20"/>
        <v>40854.29333333331</v>
      </c>
      <c r="J68" s="33">
        <f>H68/13</f>
        <v>5018.445384615385</v>
      </c>
      <c r="K68" s="42">
        <v>360</v>
      </c>
      <c r="L68" s="42">
        <v>229</v>
      </c>
      <c r="M68" s="43"/>
    </row>
    <row r="69" spans="1:13" ht="15">
      <c r="A69" s="7">
        <v>41852</v>
      </c>
      <c r="B69" s="37">
        <f t="shared" si="15"/>
        <v>8161.083333333333</v>
      </c>
      <c r="C69" s="33">
        <f t="shared" si="16"/>
        <v>114255.16666666664</v>
      </c>
      <c r="D69" s="33">
        <v>0</v>
      </c>
      <c r="E69" s="33">
        <v>11992</v>
      </c>
      <c r="F69" s="33">
        <v>0</v>
      </c>
      <c r="G69" s="33">
        <f t="shared" si="8"/>
        <v>11992</v>
      </c>
      <c r="H69" s="33">
        <f aca="true" t="shared" si="21" ref="H69:H74">G69+H68</f>
        <v>77231.79000000001</v>
      </c>
      <c r="I69" s="33">
        <f t="shared" si="20"/>
        <v>37023.376666666634</v>
      </c>
      <c r="J69" s="33">
        <f>H69/14</f>
        <v>5516.556428571429</v>
      </c>
      <c r="K69" s="42">
        <v>336</v>
      </c>
      <c r="L69" s="42">
        <v>235</v>
      </c>
      <c r="M69" s="43"/>
    </row>
    <row r="70" spans="1:13" ht="15">
      <c r="A70" s="7">
        <v>41883</v>
      </c>
      <c r="B70" s="37">
        <f t="shared" si="15"/>
        <v>8161.083333333333</v>
      </c>
      <c r="C70" s="33">
        <f t="shared" si="16"/>
        <v>122416.24999999997</v>
      </c>
      <c r="D70" s="33">
        <v>0</v>
      </c>
      <c r="E70" s="33">
        <v>5440</v>
      </c>
      <c r="F70" s="33">
        <v>0</v>
      </c>
      <c r="G70" s="33">
        <f t="shared" si="8"/>
        <v>5440</v>
      </c>
      <c r="H70" s="33">
        <f t="shared" si="21"/>
        <v>82671.79000000001</v>
      </c>
      <c r="I70" s="33">
        <f t="shared" si="20"/>
        <v>39744.45999999996</v>
      </c>
      <c r="J70" s="33">
        <f>H70/15</f>
        <v>5511.452666666667</v>
      </c>
      <c r="K70" s="42">
        <v>331</v>
      </c>
      <c r="L70" s="42">
        <v>226</v>
      </c>
      <c r="M70" s="43"/>
    </row>
    <row r="71" spans="1:13" ht="15">
      <c r="A71" s="7">
        <v>41913</v>
      </c>
      <c r="B71" s="37">
        <f t="shared" si="15"/>
        <v>8161.083333333333</v>
      </c>
      <c r="C71" s="33">
        <f t="shared" si="16"/>
        <v>130577.3333333333</v>
      </c>
      <c r="D71" s="33">
        <v>0</v>
      </c>
      <c r="E71" s="33">
        <v>6837</v>
      </c>
      <c r="F71" s="33">
        <v>0</v>
      </c>
      <c r="G71" s="33">
        <f t="shared" si="8"/>
        <v>6837</v>
      </c>
      <c r="H71" s="33">
        <f t="shared" si="21"/>
        <v>89508.79000000001</v>
      </c>
      <c r="I71" s="33">
        <f t="shared" si="20"/>
        <v>41068.54333333329</v>
      </c>
      <c r="J71" s="33">
        <f>H71/16</f>
        <v>5594.2993750000005</v>
      </c>
      <c r="K71" s="42">
        <v>305</v>
      </c>
      <c r="L71" s="42">
        <v>191</v>
      </c>
      <c r="M71" s="43"/>
    </row>
    <row r="72" spans="1:13" ht="15">
      <c r="A72" s="7">
        <v>41944</v>
      </c>
      <c r="B72" s="37">
        <f t="shared" si="15"/>
        <v>8161.083333333333</v>
      </c>
      <c r="C72" s="33">
        <f t="shared" si="16"/>
        <v>138738.41666666663</v>
      </c>
      <c r="D72" s="33">
        <v>0</v>
      </c>
      <c r="E72" s="33">
        <v>4113</v>
      </c>
      <c r="F72" s="33">
        <v>0</v>
      </c>
      <c r="G72" s="33">
        <f t="shared" si="8"/>
        <v>4113</v>
      </c>
      <c r="H72" s="33">
        <f t="shared" si="21"/>
        <v>93621.79000000001</v>
      </c>
      <c r="I72" s="33">
        <f>C72-H72</f>
        <v>45116.62666666662</v>
      </c>
      <c r="J72" s="33">
        <f>H72/17</f>
        <v>5507.164117647059</v>
      </c>
      <c r="K72" s="42">
        <v>308</v>
      </c>
      <c r="L72" s="42">
        <v>191</v>
      </c>
      <c r="M72" s="43"/>
    </row>
    <row r="73" spans="1:13" ht="15">
      <c r="A73" s="7">
        <v>41974</v>
      </c>
      <c r="B73" s="37">
        <f t="shared" si="15"/>
        <v>8161.083333333333</v>
      </c>
      <c r="C73" s="33">
        <f t="shared" si="16"/>
        <v>146899.49999999997</v>
      </c>
      <c r="D73" s="33">
        <v>0</v>
      </c>
      <c r="E73" s="33">
        <v>6885</v>
      </c>
      <c r="F73" s="33">
        <v>0</v>
      </c>
      <c r="G73" s="33">
        <f t="shared" si="8"/>
        <v>6885</v>
      </c>
      <c r="H73" s="33">
        <f t="shared" si="21"/>
        <v>100506.79000000001</v>
      </c>
      <c r="I73" s="33">
        <f>C73-H73</f>
        <v>46392.70999999996</v>
      </c>
      <c r="J73" s="33">
        <f>H73/18</f>
        <v>5583.710555555556</v>
      </c>
      <c r="K73" s="42">
        <v>308</v>
      </c>
      <c r="L73" s="42">
        <v>172</v>
      </c>
      <c r="M73" s="43"/>
    </row>
    <row r="74" spans="1:13" ht="15">
      <c r="A74" s="7">
        <v>42005</v>
      </c>
      <c r="B74" s="37">
        <f t="shared" si="15"/>
        <v>8161.083333333333</v>
      </c>
      <c r="C74" s="33">
        <f t="shared" si="16"/>
        <v>155060.5833333333</v>
      </c>
      <c r="D74" s="33">
        <v>0</v>
      </c>
      <c r="E74" s="33">
        <v>4774</v>
      </c>
      <c r="F74" s="33">
        <v>0</v>
      </c>
      <c r="G74" s="33">
        <f t="shared" si="8"/>
        <v>4774</v>
      </c>
      <c r="H74" s="33">
        <f t="shared" si="21"/>
        <v>105280.79000000001</v>
      </c>
      <c r="I74" s="33">
        <f>C74-H74</f>
        <v>49779.793333333306</v>
      </c>
      <c r="J74" s="33">
        <f>H74/19</f>
        <v>5541.094210526317</v>
      </c>
      <c r="K74" s="42">
        <v>321</v>
      </c>
      <c r="L74" s="42">
        <v>218</v>
      </c>
      <c r="M74" s="43"/>
    </row>
    <row r="75" spans="1:13" ht="15">
      <c r="A75" s="7">
        <v>42036</v>
      </c>
      <c r="B75" s="37">
        <f t="shared" si="15"/>
        <v>8161.083333333333</v>
      </c>
      <c r="C75" s="33">
        <f t="shared" si="16"/>
        <v>163221.66666666666</v>
      </c>
      <c r="D75" s="33"/>
      <c r="E75" s="33"/>
      <c r="F75" s="33"/>
      <c r="G75" s="33"/>
      <c r="H75" s="33"/>
      <c r="I75" s="33"/>
      <c r="J75" s="33"/>
      <c r="K75" s="42"/>
      <c r="L75" s="42"/>
      <c r="M75" s="43"/>
    </row>
    <row r="76" spans="1:13" ht="15">
      <c r="A76" s="7">
        <v>42064</v>
      </c>
      <c r="B76" s="37">
        <f t="shared" si="15"/>
        <v>8161.083333333333</v>
      </c>
      <c r="C76" s="33">
        <f t="shared" si="16"/>
        <v>171382.75</v>
      </c>
      <c r="D76" s="33"/>
      <c r="E76" s="33"/>
      <c r="F76" s="33"/>
      <c r="G76" s="33"/>
      <c r="H76" s="33"/>
      <c r="I76" s="33"/>
      <c r="J76" s="33"/>
      <c r="K76" s="42"/>
      <c r="L76" s="42"/>
      <c r="M76" s="43"/>
    </row>
    <row r="77" spans="1:13" ht="15">
      <c r="A77" s="7">
        <v>42095</v>
      </c>
      <c r="B77" s="37">
        <f t="shared" si="15"/>
        <v>8161.083333333333</v>
      </c>
      <c r="C77" s="33">
        <f t="shared" si="16"/>
        <v>179543.83333333334</v>
      </c>
      <c r="D77" s="33"/>
      <c r="E77" s="33"/>
      <c r="F77" s="33"/>
      <c r="G77" s="33"/>
      <c r="H77" s="33"/>
      <c r="I77" s="33"/>
      <c r="J77" s="33"/>
      <c r="K77" s="42"/>
      <c r="L77" s="42"/>
      <c r="M77" s="43"/>
    </row>
    <row r="78" spans="1:13" ht="15">
      <c r="A78" s="7">
        <v>42125</v>
      </c>
      <c r="B78" s="37">
        <f t="shared" si="15"/>
        <v>8161.083333333333</v>
      </c>
      <c r="C78" s="33">
        <f t="shared" si="16"/>
        <v>187704.9166666667</v>
      </c>
      <c r="D78" s="33"/>
      <c r="E78" s="33"/>
      <c r="F78" s="33"/>
      <c r="G78" s="33"/>
      <c r="H78" s="33"/>
      <c r="I78" s="33"/>
      <c r="J78" s="33"/>
      <c r="K78" s="42"/>
      <c r="L78" s="42"/>
      <c r="M78" s="43"/>
    </row>
    <row r="79" spans="1:13" ht="15">
      <c r="A79" s="7">
        <v>42156</v>
      </c>
      <c r="B79" s="37">
        <f t="shared" si="15"/>
        <v>8161.083333333333</v>
      </c>
      <c r="C79" s="33">
        <f t="shared" si="16"/>
        <v>195866.00000000003</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243156</v>
      </c>
      <c r="C81" s="25">
        <f>SUM(B8:B19)</f>
        <v>243156</v>
      </c>
      <c r="D81" s="25">
        <f>SUM(D8:D19)</f>
        <v>45368</v>
      </c>
      <c r="E81" s="25">
        <f>SUM(E8:E19)</f>
        <v>236749</v>
      </c>
      <c r="F81" s="25"/>
      <c r="G81" s="25">
        <f>SUM(G8:G19)</f>
        <v>282117</v>
      </c>
      <c r="H81" s="25">
        <f>G81</f>
        <v>282117</v>
      </c>
      <c r="I81" s="25">
        <f>I19</f>
        <v>-38961</v>
      </c>
      <c r="J81" s="25">
        <f>J19</f>
        <v>27387.2</v>
      </c>
      <c r="K81" s="30">
        <f>SUM(K8:K19)</f>
        <v>2156</v>
      </c>
      <c r="L81" s="30">
        <f>SUM(L8:L19)</f>
        <v>1975</v>
      </c>
      <c r="M81" s="30">
        <f>SUM(M8:M19)</f>
        <v>375</v>
      </c>
    </row>
    <row r="82" spans="1:13" ht="15" hidden="1">
      <c r="A82" s="20" t="s">
        <v>22</v>
      </c>
      <c r="B82" s="25">
        <v>342562</v>
      </c>
      <c r="C82" s="25">
        <f>C31</f>
        <v>342562</v>
      </c>
      <c r="D82" s="25">
        <f>SUM(D20:D31)</f>
        <v>20119</v>
      </c>
      <c r="E82" s="25">
        <f>SUM(E20:E31)</f>
        <v>262794</v>
      </c>
      <c r="F82" s="25"/>
      <c r="G82" s="25">
        <f>SUM(G20:G31)</f>
        <v>282913</v>
      </c>
      <c r="H82" s="25">
        <f>G82</f>
        <v>282913</v>
      </c>
      <c r="I82" s="25">
        <f>I31</f>
        <v>59649</v>
      </c>
      <c r="J82" s="25">
        <f>AVERAGE(G20:G31)</f>
        <v>23576.083333333332</v>
      </c>
      <c r="K82" s="30">
        <f>SUM(K20:K31)</f>
        <v>3317</v>
      </c>
      <c r="L82" s="30">
        <f>SUM(L20:L31)</f>
        <v>2881</v>
      </c>
      <c r="M82" s="30">
        <f>SUM(M20:M31)</f>
        <v>861</v>
      </c>
    </row>
    <row r="83" spans="1:13" ht="15" hidden="1">
      <c r="A83" s="20" t="s">
        <v>23</v>
      </c>
      <c r="B83" s="25">
        <f>SUM(B81:B82)</f>
        <v>585718</v>
      </c>
      <c r="C83" s="25">
        <f>SUM(C81:C82)</f>
        <v>585718</v>
      </c>
      <c r="D83" s="25">
        <f>D81+D82</f>
        <v>65487</v>
      </c>
      <c r="E83" s="25">
        <f>E81+E82</f>
        <v>499543</v>
      </c>
      <c r="F83" s="25"/>
      <c r="G83" s="25">
        <f>G81+G82</f>
        <v>565030</v>
      </c>
      <c r="H83" s="25">
        <f>H81+H82</f>
        <v>565030</v>
      </c>
      <c r="I83" s="25"/>
      <c r="J83" s="25">
        <f>AVERAGE(G8:G31)</f>
        <v>23542.916666666668</v>
      </c>
      <c r="K83" s="27">
        <f>SUM(K81:K82)</f>
        <v>5473</v>
      </c>
      <c r="L83" s="27">
        <f>SUM(L81:L82)</f>
        <v>4856</v>
      </c>
      <c r="M83" s="27">
        <f>SUM(M81:M82)</f>
        <v>1236</v>
      </c>
    </row>
    <row r="84" spans="1:12" ht="15" hidden="1">
      <c r="A84" s="20"/>
      <c r="B84" s="25"/>
      <c r="C84" s="25"/>
      <c r="D84" s="25"/>
      <c r="E84" s="25"/>
      <c r="F84" s="25"/>
      <c r="G84" s="25"/>
      <c r="H84" s="25"/>
      <c r="I84" s="25"/>
      <c r="J84" s="25"/>
      <c r="K84" s="27"/>
      <c r="L84" s="27"/>
    </row>
    <row r="85" spans="1:13" ht="15" hidden="1">
      <c r="A85" s="20" t="s">
        <v>24</v>
      </c>
      <c r="B85" s="25">
        <v>95511</v>
      </c>
      <c r="C85" s="25">
        <f>C43</f>
        <v>95511</v>
      </c>
      <c r="D85" s="25">
        <f>SUM(D32:D43)</f>
        <v>0</v>
      </c>
      <c r="E85" s="25">
        <f>SUM(E32:E43)</f>
        <v>32713</v>
      </c>
      <c r="F85" s="25">
        <f>SUM(F32:F74)</f>
        <v>-45</v>
      </c>
      <c r="G85" s="25">
        <f>SUM(G32:G43)</f>
        <v>32668</v>
      </c>
      <c r="H85" s="25">
        <f>G85</f>
        <v>32668</v>
      </c>
      <c r="I85" s="25">
        <f>I43</f>
        <v>62843</v>
      </c>
      <c r="J85" s="25">
        <f>AVERAGE(G32:G43)</f>
        <v>2722.3333333333335</v>
      </c>
      <c r="K85" s="30">
        <f>SUM(K32:K43)</f>
        <v>6103</v>
      </c>
      <c r="L85" s="30">
        <f>SUM(L32:L43)</f>
        <v>1492</v>
      </c>
      <c r="M85" s="4">
        <f>SUM(M32:M43)</f>
        <v>423</v>
      </c>
    </row>
    <row r="86" spans="1:13" ht="15" hidden="1">
      <c r="A86" s="20" t="s">
        <v>25</v>
      </c>
      <c r="B86" s="25">
        <v>153825</v>
      </c>
      <c r="C86" s="25">
        <f>SUM(B44:B55)</f>
        <v>153825</v>
      </c>
      <c r="D86" s="25">
        <f>SUM(D44:D55)</f>
        <v>61</v>
      </c>
      <c r="E86" s="25">
        <f>SUM(E44:E55)</f>
        <v>50717</v>
      </c>
      <c r="F86" s="25">
        <f>SUM(F44:F55)</f>
        <v>0</v>
      </c>
      <c r="G86" s="25">
        <f>SUM(G44:G55)</f>
        <v>50778</v>
      </c>
      <c r="H86" s="25">
        <f>G86</f>
        <v>50778</v>
      </c>
      <c r="I86" s="25">
        <f>I55</f>
        <v>103047</v>
      </c>
      <c r="J86" s="25">
        <f>J55</f>
        <v>4231.5</v>
      </c>
      <c r="K86" s="30">
        <f>SUM(K44:K55)</f>
        <v>2318</v>
      </c>
      <c r="L86" s="30">
        <f>SUM(L44:L55)</f>
        <v>520</v>
      </c>
      <c r="M86" s="44">
        <f>SUM(M44:M55)</f>
        <v>0</v>
      </c>
    </row>
    <row r="87" spans="1:13" ht="15" hidden="1">
      <c r="A87" s="20" t="s">
        <v>26</v>
      </c>
      <c r="B87" s="25">
        <f>B85+B86</f>
        <v>249336</v>
      </c>
      <c r="C87" s="25">
        <f aca="true" t="shared" si="22" ref="C87:M87">SUM(C85:C86)</f>
        <v>249336</v>
      </c>
      <c r="D87" s="25">
        <f t="shared" si="22"/>
        <v>61</v>
      </c>
      <c r="E87" s="25">
        <f t="shared" si="22"/>
        <v>83430</v>
      </c>
      <c r="F87" s="25">
        <f t="shared" si="22"/>
        <v>-45</v>
      </c>
      <c r="G87" s="25">
        <f t="shared" si="22"/>
        <v>83446</v>
      </c>
      <c r="H87" s="25">
        <f t="shared" si="22"/>
        <v>83446</v>
      </c>
      <c r="I87" s="25">
        <f t="shared" si="22"/>
        <v>165890</v>
      </c>
      <c r="J87" s="25">
        <f t="shared" si="22"/>
        <v>6953.833333333334</v>
      </c>
      <c r="K87" s="27">
        <f t="shared" si="22"/>
        <v>8421</v>
      </c>
      <c r="L87" s="27">
        <f t="shared" si="22"/>
        <v>2012</v>
      </c>
      <c r="M87" s="27">
        <f t="shared" si="22"/>
        <v>423</v>
      </c>
    </row>
    <row r="88" spans="1:13" ht="15" hidden="1">
      <c r="A88" s="20"/>
      <c r="B88" s="25"/>
      <c r="C88" s="25"/>
      <c r="D88" s="25"/>
      <c r="E88" s="25"/>
      <c r="F88" s="25"/>
      <c r="G88" s="25"/>
      <c r="H88" s="25"/>
      <c r="I88" s="25"/>
      <c r="J88" s="25"/>
      <c r="K88" s="27"/>
      <c r="L88" s="27"/>
      <c r="M88" s="27"/>
    </row>
    <row r="89" spans="1:13" s="56" customFormat="1" ht="18" hidden="1">
      <c r="A89" s="52" t="s">
        <v>27</v>
      </c>
      <c r="B89" s="53">
        <f>262950/2</f>
        <v>131475</v>
      </c>
      <c r="C89" s="53">
        <f>C67</f>
        <v>97932.99999999999</v>
      </c>
      <c r="D89" s="53">
        <f>SUM(D56:D67)</f>
        <v>0</v>
      </c>
      <c r="E89" s="53">
        <f>SUM(E56:E67)</f>
        <v>55058.79</v>
      </c>
      <c r="F89" s="53">
        <f>SUM(F56:F67)</f>
        <v>0</v>
      </c>
      <c r="G89" s="53">
        <f>SUM(G56:G67)</f>
        <v>55058.79</v>
      </c>
      <c r="H89" s="53">
        <f>H67</f>
        <v>55058.79</v>
      </c>
      <c r="I89" s="53">
        <f>I67</f>
        <v>42874.209999999985</v>
      </c>
      <c r="J89" s="53">
        <f>J67</f>
        <v>4588.2325</v>
      </c>
      <c r="K89" s="54">
        <f>SUM(K56:K67)</f>
        <v>4620</v>
      </c>
      <c r="L89" s="54">
        <f>SUM(L56:L67)</f>
        <v>2135</v>
      </c>
      <c r="M89" s="55"/>
    </row>
    <row r="90" spans="1:13" s="56" customFormat="1" ht="18" hidden="1">
      <c r="A90" s="52" t="s">
        <v>28</v>
      </c>
      <c r="B90" s="53">
        <f>262950/2</f>
        <v>131475</v>
      </c>
      <c r="C90" s="53">
        <v>131475</v>
      </c>
      <c r="D90" s="53">
        <f>SUM(D68:D79)</f>
        <v>0</v>
      </c>
      <c r="E90" s="53">
        <f>SUM(E68:E79)</f>
        <v>50222</v>
      </c>
      <c r="F90" s="53">
        <f>SUM(F68:F79)</f>
        <v>0</v>
      </c>
      <c r="G90" s="53">
        <f>SUM(G68:G79)</f>
        <v>50222</v>
      </c>
      <c r="H90" s="55"/>
      <c r="I90" s="58"/>
      <c r="J90" s="53"/>
      <c r="K90" s="54">
        <f>SUM(K68:K79)</f>
        <v>2269</v>
      </c>
      <c r="L90" s="54">
        <f>SUM(L68:L79)</f>
        <v>1462</v>
      </c>
      <c r="M90" s="55"/>
    </row>
    <row r="91" spans="1:13" ht="18">
      <c r="A91" s="20" t="s">
        <v>29</v>
      </c>
      <c r="B91" s="8">
        <v>195866</v>
      </c>
      <c r="C91" s="8">
        <f>C79</f>
        <v>195866.00000000003</v>
      </c>
      <c r="D91" s="8">
        <f aca="true" t="shared" si="23" ref="D91:L91">D89+D90</f>
        <v>0</v>
      </c>
      <c r="E91" s="8">
        <f t="shared" si="23"/>
        <v>105280.79000000001</v>
      </c>
      <c r="F91" s="8">
        <f t="shared" si="23"/>
        <v>0</v>
      </c>
      <c r="G91" s="8">
        <f t="shared" si="23"/>
        <v>105280.79000000001</v>
      </c>
      <c r="H91" s="8">
        <f>H74</f>
        <v>105280.79000000001</v>
      </c>
      <c r="I91" s="8">
        <f>I74</f>
        <v>49779.793333333306</v>
      </c>
      <c r="J91" s="8">
        <f>J74</f>
        <v>5541.094210526317</v>
      </c>
      <c r="K91" s="9">
        <f t="shared" si="23"/>
        <v>6889</v>
      </c>
      <c r="L91" s="9">
        <f t="shared" si="23"/>
        <v>3597</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73"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5.140625" style="4" customWidth="1"/>
    <col min="3" max="12" width="18.140625" style="4" customWidth="1"/>
    <col min="13" max="13" width="9.28125" style="4" hidden="1" customWidth="1"/>
  </cols>
  <sheetData>
    <row r="1" spans="1:10" ht="18">
      <c r="A1" s="1" t="s">
        <v>0</v>
      </c>
      <c r="B1" s="2"/>
      <c r="C1" s="3"/>
      <c r="D1" s="3"/>
      <c r="E1" s="3"/>
      <c r="F1" s="3"/>
      <c r="G1" s="2"/>
      <c r="H1" s="2"/>
      <c r="I1" s="2"/>
      <c r="J1" s="2"/>
    </row>
    <row r="2" spans="1:2" ht="18">
      <c r="A2" s="5" t="s">
        <v>1</v>
      </c>
      <c r="B2" s="6">
        <v>13</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27977.083333333332</v>
      </c>
      <c r="C8" s="25">
        <f>B8</f>
        <v>27977.083333333332</v>
      </c>
      <c r="D8" s="25">
        <v>2069</v>
      </c>
      <c r="E8" s="25">
        <v>21389</v>
      </c>
      <c r="F8" s="25"/>
      <c r="G8" s="25">
        <f aca="true" t="shared" si="1" ref="G8:G31">D8+E8</f>
        <v>23458</v>
      </c>
      <c r="H8" s="25">
        <f>G8</f>
        <v>23458</v>
      </c>
      <c r="I8" s="25">
        <f aca="true" t="shared" si="2" ref="I8:I39">C8-H8</f>
        <v>4519.083333333332</v>
      </c>
      <c r="J8" s="25">
        <f>H8</f>
        <v>23458</v>
      </c>
      <c r="K8" s="30">
        <v>103</v>
      </c>
      <c r="L8" s="30">
        <v>152</v>
      </c>
    </row>
    <row r="9" spans="1:12" ht="15" hidden="1">
      <c r="A9" s="7">
        <v>39295</v>
      </c>
      <c r="B9" s="25">
        <f t="shared" si="0"/>
        <v>27977.083333333332</v>
      </c>
      <c r="C9" s="25">
        <f aca="true" t="shared" si="3" ref="C9:C19">C8+B9</f>
        <v>55954.166666666664</v>
      </c>
      <c r="D9" s="25">
        <v>150</v>
      </c>
      <c r="E9" s="25">
        <v>16782</v>
      </c>
      <c r="F9" s="25"/>
      <c r="G9" s="25">
        <f t="shared" si="1"/>
        <v>16932</v>
      </c>
      <c r="H9" s="25">
        <f aca="true" t="shared" si="4" ref="H9:H19">H8+G9</f>
        <v>40390</v>
      </c>
      <c r="I9" s="25">
        <f t="shared" si="2"/>
        <v>15564.166666666664</v>
      </c>
      <c r="J9" s="25">
        <f>AVERAGE(G8:G9)</f>
        <v>20195</v>
      </c>
      <c r="K9" s="30">
        <v>109</v>
      </c>
      <c r="L9" s="30">
        <v>143</v>
      </c>
    </row>
    <row r="10" spans="1:12" ht="15" hidden="1">
      <c r="A10" s="7">
        <v>39326</v>
      </c>
      <c r="B10" s="25">
        <f t="shared" si="0"/>
        <v>27977.083333333332</v>
      </c>
      <c r="C10" s="25">
        <f t="shared" si="3"/>
        <v>83931.25</v>
      </c>
      <c r="D10" s="25">
        <v>1804</v>
      </c>
      <c r="E10" s="25">
        <v>14472</v>
      </c>
      <c r="F10" s="25"/>
      <c r="G10" s="25">
        <f t="shared" si="1"/>
        <v>16276</v>
      </c>
      <c r="H10" s="25">
        <f t="shared" si="4"/>
        <v>56666</v>
      </c>
      <c r="I10" s="25">
        <f t="shared" si="2"/>
        <v>27265.25</v>
      </c>
      <c r="J10" s="25">
        <f>AVERAGE(G8:G10)</f>
        <v>18888.666666666668</v>
      </c>
      <c r="K10" s="30">
        <v>122</v>
      </c>
      <c r="L10" s="30">
        <v>166</v>
      </c>
    </row>
    <row r="11" spans="1:13" ht="15" hidden="1">
      <c r="A11" s="7">
        <v>39356</v>
      </c>
      <c r="B11" s="25">
        <f t="shared" si="0"/>
        <v>27977.083333333332</v>
      </c>
      <c r="C11" s="25">
        <f t="shared" si="3"/>
        <v>111908.33333333333</v>
      </c>
      <c r="D11" s="25">
        <v>864</v>
      </c>
      <c r="E11" s="25">
        <v>14374</v>
      </c>
      <c r="F11" s="25"/>
      <c r="G11" s="25">
        <f t="shared" si="1"/>
        <v>15238</v>
      </c>
      <c r="H11" s="25">
        <f t="shared" si="4"/>
        <v>71904</v>
      </c>
      <c r="I11" s="25">
        <f t="shared" si="2"/>
        <v>40004.33333333333</v>
      </c>
      <c r="J11" s="25">
        <f>AVERAGE(G8:G11)</f>
        <v>17976</v>
      </c>
      <c r="K11" s="30">
        <v>124</v>
      </c>
      <c r="L11" s="30">
        <v>121</v>
      </c>
      <c r="M11" s="29">
        <v>10</v>
      </c>
    </row>
    <row r="12" spans="1:13" ht="15" hidden="1">
      <c r="A12" s="7">
        <v>39387</v>
      </c>
      <c r="B12" s="25">
        <f t="shared" si="0"/>
        <v>27977.083333333332</v>
      </c>
      <c r="C12" s="25">
        <f t="shared" si="3"/>
        <v>139885.41666666666</v>
      </c>
      <c r="D12" s="25">
        <v>1998</v>
      </c>
      <c r="E12" s="25">
        <v>13358</v>
      </c>
      <c r="F12" s="25"/>
      <c r="G12" s="25">
        <f t="shared" si="1"/>
        <v>15356</v>
      </c>
      <c r="H12" s="25">
        <f t="shared" si="4"/>
        <v>87260</v>
      </c>
      <c r="I12" s="25">
        <f t="shared" si="2"/>
        <v>52625.41666666666</v>
      </c>
      <c r="J12" s="25">
        <f>AVERAGE(G8:G12)</f>
        <v>17452</v>
      </c>
      <c r="K12" s="30">
        <v>122</v>
      </c>
      <c r="L12" s="30">
        <v>133</v>
      </c>
      <c r="M12" s="29">
        <v>17</v>
      </c>
    </row>
    <row r="13" spans="1:13" ht="15" hidden="1">
      <c r="A13" s="7">
        <v>39417</v>
      </c>
      <c r="B13" s="25">
        <f t="shared" si="0"/>
        <v>27977.083333333332</v>
      </c>
      <c r="C13" s="25">
        <f t="shared" si="3"/>
        <v>167862.5</v>
      </c>
      <c r="D13" s="25">
        <v>2589</v>
      </c>
      <c r="E13" s="25">
        <v>12621</v>
      </c>
      <c r="F13" s="25"/>
      <c r="G13" s="25">
        <f t="shared" si="1"/>
        <v>15210</v>
      </c>
      <c r="H13" s="25">
        <f t="shared" si="4"/>
        <v>102470</v>
      </c>
      <c r="I13" s="25">
        <f t="shared" si="2"/>
        <v>65392.5</v>
      </c>
      <c r="J13" s="25">
        <f>AVERAGE(G12:G13)</f>
        <v>15283</v>
      </c>
      <c r="K13" s="30">
        <v>132</v>
      </c>
      <c r="L13" s="30">
        <v>142</v>
      </c>
      <c r="M13" s="29">
        <v>21</v>
      </c>
    </row>
    <row r="14" spans="1:13" ht="15" hidden="1">
      <c r="A14" s="7">
        <v>39448</v>
      </c>
      <c r="B14" s="25">
        <f t="shared" si="0"/>
        <v>27977.083333333332</v>
      </c>
      <c r="C14" s="25">
        <f t="shared" si="3"/>
        <v>195839.58333333334</v>
      </c>
      <c r="D14" s="25">
        <v>5371</v>
      </c>
      <c r="E14" s="25">
        <v>14892</v>
      </c>
      <c r="F14" s="25"/>
      <c r="G14" s="25">
        <f t="shared" si="1"/>
        <v>20263</v>
      </c>
      <c r="H14" s="25">
        <f t="shared" si="4"/>
        <v>122733</v>
      </c>
      <c r="I14" s="25">
        <f t="shared" si="2"/>
        <v>73106.58333333334</v>
      </c>
      <c r="J14" s="25">
        <f>AVERAGE(G12:G14)</f>
        <v>16943</v>
      </c>
      <c r="K14" s="30">
        <v>134</v>
      </c>
      <c r="L14" s="30">
        <v>148</v>
      </c>
      <c r="M14" s="29">
        <v>22</v>
      </c>
    </row>
    <row r="15" spans="1:13" ht="15" hidden="1">
      <c r="A15" s="7">
        <v>39479</v>
      </c>
      <c r="B15" s="25">
        <f t="shared" si="0"/>
        <v>27977.083333333332</v>
      </c>
      <c r="C15" s="25">
        <f t="shared" si="3"/>
        <v>223816.6666666667</v>
      </c>
      <c r="D15" s="25">
        <v>4561</v>
      </c>
      <c r="E15" s="25">
        <v>15751</v>
      </c>
      <c r="F15" s="25"/>
      <c r="G15" s="25">
        <f t="shared" si="1"/>
        <v>20312</v>
      </c>
      <c r="H15" s="25">
        <f t="shared" si="4"/>
        <v>143045</v>
      </c>
      <c r="I15" s="25">
        <f t="shared" si="2"/>
        <v>80771.66666666669</v>
      </c>
      <c r="J15" s="25">
        <f>AVERAGE(G12:G15)</f>
        <v>17785.25</v>
      </c>
      <c r="K15" s="30">
        <v>160</v>
      </c>
      <c r="L15" s="30">
        <v>154</v>
      </c>
      <c r="M15" s="29">
        <v>25</v>
      </c>
    </row>
    <row r="16" spans="1:13" ht="15" hidden="1">
      <c r="A16" s="7">
        <v>39508</v>
      </c>
      <c r="B16" s="25">
        <f t="shared" si="0"/>
        <v>27977.083333333332</v>
      </c>
      <c r="C16" s="25">
        <f t="shared" si="3"/>
        <v>251793.75000000003</v>
      </c>
      <c r="D16" s="25">
        <v>8399</v>
      </c>
      <c r="E16" s="25">
        <v>12993</v>
      </c>
      <c r="F16" s="25"/>
      <c r="G16" s="25">
        <f t="shared" si="1"/>
        <v>21392</v>
      </c>
      <c r="H16" s="25">
        <f t="shared" si="4"/>
        <v>164437</v>
      </c>
      <c r="I16" s="25">
        <f t="shared" si="2"/>
        <v>87356.75000000003</v>
      </c>
      <c r="J16" s="25">
        <f>AVERAGE(G12:G16)</f>
        <v>18506.6</v>
      </c>
      <c r="K16" s="30">
        <v>149</v>
      </c>
      <c r="L16" s="30">
        <v>167</v>
      </c>
      <c r="M16" s="29">
        <v>26</v>
      </c>
    </row>
    <row r="17" spans="1:13" ht="15" hidden="1">
      <c r="A17" s="7">
        <v>39539</v>
      </c>
      <c r="B17" s="25">
        <f t="shared" si="0"/>
        <v>27977.083333333332</v>
      </c>
      <c r="C17" s="25">
        <f t="shared" si="3"/>
        <v>279770.8333333334</v>
      </c>
      <c r="D17" s="25">
        <v>7462</v>
      </c>
      <c r="E17" s="25">
        <v>13901</v>
      </c>
      <c r="F17" s="25"/>
      <c r="G17" s="25">
        <f t="shared" si="1"/>
        <v>21363</v>
      </c>
      <c r="H17" s="25">
        <f t="shared" si="4"/>
        <v>185800</v>
      </c>
      <c r="I17" s="25">
        <f t="shared" si="2"/>
        <v>93970.83333333337</v>
      </c>
      <c r="J17" s="25">
        <f>AVERAGE(G14:G17)</f>
        <v>20832.5</v>
      </c>
      <c r="K17" s="30">
        <v>141</v>
      </c>
      <c r="L17" s="30">
        <v>176</v>
      </c>
      <c r="M17" s="29">
        <v>32</v>
      </c>
    </row>
    <row r="18" spans="1:13" ht="15" hidden="1">
      <c r="A18" s="7">
        <v>39569</v>
      </c>
      <c r="B18" s="33">
        <f t="shared" si="0"/>
        <v>27977.083333333332</v>
      </c>
      <c r="C18" s="33">
        <f t="shared" si="3"/>
        <v>307747.9166666667</v>
      </c>
      <c r="D18" s="33">
        <v>2165</v>
      </c>
      <c r="E18" s="33">
        <v>17579</v>
      </c>
      <c r="F18" s="33"/>
      <c r="G18" s="25">
        <f t="shared" si="1"/>
        <v>19744</v>
      </c>
      <c r="H18" s="25">
        <f t="shared" si="4"/>
        <v>205544</v>
      </c>
      <c r="I18" s="25">
        <f t="shared" si="2"/>
        <v>102203.91666666669</v>
      </c>
      <c r="J18" s="25">
        <f>AVERAGE(G14:G18)</f>
        <v>20614.8</v>
      </c>
      <c r="K18" s="30">
        <v>145</v>
      </c>
      <c r="L18" s="30">
        <v>159</v>
      </c>
      <c r="M18" s="29">
        <v>37</v>
      </c>
    </row>
    <row r="19" spans="1:13" ht="15.75" hidden="1" thickBot="1">
      <c r="A19" s="7">
        <v>39600</v>
      </c>
      <c r="B19" s="34">
        <f t="shared" si="0"/>
        <v>27977.083333333332</v>
      </c>
      <c r="C19" s="34">
        <f t="shared" si="3"/>
        <v>335725</v>
      </c>
      <c r="D19" s="34">
        <v>3341</v>
      </c>
      <c r="E19" s="34">
        <v>15578</v>
      </c>
      <c r="F19" s="34"/>
      <c r="G19" s="34">
        <f t="shared" si="1"/>
        <v>18919</v>
      </c>
      <c r="H19" s="34">
        <f t="shared" si="4"/>
        <v>224463</v>
      </c>
      <c r="I19" s="34">
        <f t="shared" si="2"/>
        <v>111262</v>
      </c>
      <c r="J19" s="34">
        <f>AVERAGE(G15:G19)</f>
        <v>20346</v>
      </c>
      <c r="K19" s="35">
        <v>142</v>
      </c>
      <c r="L19" s="35">
        <v>166</v>
      </c>
      <c r="M19" s="36">
        <v>46</v>
      </c>
    </row>
    <row r="20" spans="1:13" ht="15" hidden="1">
      <c r="A20" s="7">
        <v>39630</v>
      </c>
      <c r="B20" s="37">
        <v>23997</v>
      </c>
      <c r="C20" s="33">
        <f>B20</f>
        <v>23997</v>
      </c>
      <c r="D20" s="33">
        <v>8534</v>
      </c>
      <c r="E20" s="33">
        <v>15687</v>
      </c>
      <c r="F20" s="33"/>
      <c r="G20" s="33">
        <f t="shared" si="1"/>
        <v>24221</v>
      </c>
      <c r="H20" s="33">
        <f>G20</f>
        <v>24221</v>
      </c>
      <c r="I20" s="33">
        <f t="shared" si="2"/>
        <v>-224</v>
      </c>
      <c r="J20" s="33">
        <f>H20</f>
        <v>24221</v>
      </c>
      <c r="K20" s="30">
        <v>149</v>
      </c>
      <c r="L20" s="30">
        <v>176</v>
      </c>
      <c r="M20" s="29">
        <v>49</v>
      </c>
    </row>
    <row r="21" spans="1:13" ht="15" hidden="1">
      <c r="A21" s="7">
        <v>39661</v>
      </c>
      <c r="B21" s="37">
        <v>23997</v>
      </c>
      <c r="C21" s="33">
        <f aca="true" t="shared" si="5" ref="C21:C31">C20+B21</f>
        <v>47994</v>
      </c>
      <c r="D21" s="33">
        <v>4442</v>
      </c>
      <c r="E21" s="33">
        <v>13304</v>
      </c>
      <c r="F21" s="33"/>
      <c r="G21" s="33">
        <f t="shared" si="1"/>
        <v>17746</v>
      </c>
      <c r="H21" s="33">
        <f aca="true" t="shared" si="6" ref="H21:H31">H20+G21</f>
        <v>41967</v>
      </c>
      <c r="I21" s="33">
        <f t="shared" si="2"/>
        <v>6027</v>
      </c>
      <c r="J21" s="33">
        <f>H21/2</f>
        <v>20983.5</v>
      </c>
      <c r="K21" s="30">
        <v>154</v>
      </c>
      <c r="L21" s="30">
        <v>195</v>
      </c>
      <c r="M21" s="29">
        <v>50</v>
      </c>
    </row>
    <row r="22" spans="1:13" ht="15" hidden="1">
      <c r="A22" s="7">
        <v>39692</v>
      </c>
      <c r="B22" s="37">
        <v>23997</v>
      </c>
      <c r="C22" s="33">
        <f t="shared" si="5"/>
        <v>71991</v>
      </c>
      <c r="D22" s="33">
        <v>6265</v>
      </c>
      <c r="E22" s="33">
        <v>19756</v>
      </c>
      <c r="F22" s="33"/>
      <c r="G22" s="33">
        <f t="shared" si="1"/>
        <v>26021</v>
      </c>
      <c r="H22" s="33">
        <f t="shared" si="6"/>
        <v>67988</v>
      </c>
      <c r="I22" s="33">
        <f t="shared" si="2"/>
        <v>4003</v>
      </c>
      <c r="J22" s="33">
        <f>H22/3</f>
        <v>22662.666666666668</v>
      </c>
      <c r="K22" s="30">
        <v>170</v>
      </c>
      <c r="L22" s="30">
        <v>199</v>
      </c>
      <c r="M22" s="29">
        <v>56</v>
      </c>
    </row>
    <row r="23" spans="1:13" ht="15" hidden="1">
      <c r="A23" s="7">
        <v>39722</v>
      </c>
      <c r="B23" s="37">
        <v>23997</v>
      </c>
      <c r="C23" s="33">
        <f t="shared" si="5"/>
        <v>95988</v>
      </c>
      <c r="D23" s="33">
        <v>7826</v>
      </c>
      <c r="E23" s="33">
        <v>15383</v>
      </c>
      <c r="F23" s="33"/>
      <c r="G23" s="33">
        <f t="shared" si="1"/>
        <v>23209</v>
      </c>
      <c r="H23" s="33">
        <f t="shared" si="6"/>
        <v>91197</v>
      </c>
      <c r="I23" s="33">
        <f t="shared" si="2"/>
        <v>4791</v>
      </c>
      <c r="J23" s="33">
        <f>H23/4</f>
        <v>22799.25</v>
      </c>
      <c r="K23" s="30">
        <v>176</v>
      </c>
      <c r="L23" s="30">
        <v>211</v>
      </c>
      <c r="M23" s="29">
        <v>48</v>
      </c>
    </row>
    <row r="24" spans="1:13" ht="15" hidden="1">
      <c r="A24" s="7">
        <v>39753</v>
      </c>
      <c r="B24" s="37">
        <v>23997</v>
      </c>
      <c r="C24" s="33">
        <f t="shared" si="5"/>
        <v>119985</v>
      </c>
      <c r="D24" s="33">
        <v>2829</v>
      </c>
      <c r="E24" s="33">
        <v>13760</v>
      </c>
      <c r="F24" s="33"/>
      <c r="G24" s="33">
        <f t="shared" si="1"/>
        <v>16589</v>
      </c>
      <c r="H24" s="33">
        <f t="shared" si="6"/>
        <v>107786</v>
      </c>
      <c r="I24" s="33">
        <f t="shared" si="2"/>
        <v>12199</v>
      </c>
      <c r="J24" s="33">
        <f>H24/5</f>
        <v>21557.2</v>
      </c>
      <c r="K24" s="30">
        <v>168</v>
      </c>
      <c r="L24" s="30">
        <v>209</v>
      </c>
      <c r="M24" s="29">
        <v>42</v>
      </c>
    </row>
    <row r="25" spans="1:13" ht="15" hidden="1">
      <c r="A25" s="7">
        <v>39783</v>
      </c>
      <c r="B25" s="38">
        <v>21986.285714285714</v>
      </c>
      <c r="C25" s="33">
        <f t="shared" si="5"/>
        <v>141971.2857142857</v>
      </c>
      <c r="D25" s="33">
        <v>999</v>
      </c>
      <c r="E25" s="33">
        <v>17875</v>
      </c>
      <c r="F25" s="33"/>
      <c r="G25" s="33">
        <f t="shared" si="1"/>
        <v>18874</v>
      </c>
      <c r="H25" s="33">
        <f t="shared" si="6"/>
        <v>126660</v>
      </c>
      <c r="I25" s="33">
        <f t="shared" si="2"/>
        <v>15311.28571428571</v>
      </c>
      <c r="J25" s="33">
        <f>H25/6</f>
        <v>21110</v>
      </c>
      <c r="K25" s="30">
        <v>179</v>
      </c>
      <c r="L25" s="30">
        <v>199</v>
      </c>
      <c r="M25" s="29">
        <v>40</v>
      </c>
    </row>
    <row r="26" spans="1:13" ht="15" hidden="1">
      <c r="A26" s="7">
        <v>39814</v>
      </c>
      <c r="B26" s="38">
        <v>21986.285714285714</v>
      </c>
      <c r="C26" s="33">
        <f t="shared" si="5"/>
        <v>163957.57142857142</v>
      </c>
      <c r="D26" s="33">
        <v>4118</v>
      </c>
      <c r="E26" s="33">
        <v>13311</v>
      </c>
      <c r="F26" s="33"/>
      <c r="G26" s="33">
        <f t="shared" si="1"/>
        <v>17429</v>
      </c>
      <c r="H26" s="33">
        <f t="shared" si="6"/>
        <v>144089</v>
      </c>
      <c r="I26" s="33">
        <f t="shared" si="2"/>
        <v>19868.57142857142</v>
      </c>
      <c r="J26" s="33">
        <f>H26/7</f>
        <v>20584.14285714286</v>
      </c>
      <c r="K26" s="30">
        <v>182</v>
      </c>
      <c r="L26" s="30">
        <v>204</v>
      </c>
      <c r="M26" s="29">
        <v>42</v>
      </c>
    </row>
    <row r="27" spans="1:13" ht="15" hidden="1">
      <c r="A27" s="7">
        <v>39845</v>
      </c>
      <c r="B27" s="38">
        <v>21986.285714285714</v>
      </c>
      <c r="C27" s="33">
        <f t="shared" si="5"/>
        <v>185943.85714285713</v>
      </c>
      <c r="D27" s="33">
        <v>833</v>
      </c>
      <c r="E27" s="33">
        <v>14687</v>
      </c>
      <c r="F27" s="33"/>
      <c r="G27" s="33">
        <f t="shared" si="1"/>
        <v>15520</v>
      </c>
      <c r="H27" s="33">
        <f t="shared" si="6"/>
        <v>159609</v>
      </c>
      <c r="I27" s="33">
        <f t="shared" si="2"/>
        <v>26334.85714285713</v>
      </c>
      <c r="J27" s="33">
        <f>H27/8</f>
        <v>19951.125</v>
      </c>
      <c r="K27" s="30">
        <v>176</v>
      </c>
      <c r="L27" s="30">
        <v>204</v>
      </c>
      <c r="M27" s="29">
        <v>38</v>
      </c>
    </row>
    <row r="28" spans="1:13" ht="15" hidden="1">
      <c r="A28" s="7">
        <v>39873</v>
      </c>
      <c r="B28" s="38">
        <v>21986.285714285714</v>
      </c>
      <c r="C28" s="33">
        <f t="shared" si="5"/>
        <v>207930.14285714284</v>
      </c>
      <c r="D28" s="33">
        <v>1867</v>
      </c>
      <c r="E28" s="33">
        <v>12955</v>
      </c>
      <c r="F28" s="33"/>
      <c r="G28" s="33">
        <f t="shared" si="1"/>
        <v>14822</v>
      </c>
      <c r="H28" s="33">
        <f t="shared" si="6"/>
        <v>174431</v>
      </c>
      <c r="I28" s="33">
        <f t="shared" si="2"/>
        <v>33499.14285714284</v>
      </c>
      <c r="J28" s="33">
        <f>H28/9</f>
        <v>19381.222222222223</v>
      </c>
      <c r="K28" s="30">
        <v>188</v>
      </c>
      <c r="L28" s="30">
        <v>224</v>
      </c>
      <c r="M28" s="4">
        <v>43</v>
      </c>
    </row>
    <row r="29" spans="1:13" ht="15" hidden="1">
      <c r="A29" s="7">
        <v>39904</v>
      </c>
      <c r="B29" s="38">
        <v>21986.285714285714</v>
      </c>
      <c r="C29" s="33">
        <f t="shared" si="5"/>
        <v>229916.42857142855</v>
      </c>
      <c r="D29" s="33">
        <v>501</v>
      </c>
      <c r="E29" s="33">
        <v>14390</v>
      </c>
      <c r="F29" s="33"/>
      <c r="G29" s="33">
        <f t="shared" si="1"/>
        <v>14891</v>
      </c>
      <c r="H29" s="33">
        <f t="shared" si="6"/>
        <v>189322</v>
      </c>
      <c r="I29" s="33">
        <f t="shared" si="2"/>
        <v>40594.42857142855</v>
      </c>
      <c r="J29" s="33">
        <f>H29/10</f>
        <v>18932.2</v>
      </c>
      <c r="K29" s="30">
        <v>199</v>
      </c>
      <c r="L29" s="30">
        <v>220</v>
      </c>
      <c r="M29" s="4">
        <v>47</v>
      </c>
    </row>
    <row r="30" spans="1:13" ht="15" hidden="1">
      <c r="A30" s="7">
        <v>39934</v>
      </c>
      <c r="B30" s="38">
        <v>21986.285714285714</v>
      </c>
      <c r="C30" s="33">
        <f t="shared" si="5"/>
        <v>251902.71428571426</v>
      </c>
      <c r="D30" s="33">
        <v>49</v>
      </c>
      <c r="E30" s="33">
        <v>13857</v>
      </c>
      <c r="F30" s="33"/>
      <c r="G30" s="33">
        <f t="shared" si="1"/>
        <v>13906</v>
      </c>
      <c r="H30" s="33">
        <f t="shared" si="6"/>
        <v>203228</v>
      </c>
      <c r="I30" s="33">
        <f t="shared" si="2"/>
        <v>48674.71428571426</v>
      </c>
      <c r="J30" s="33">
        <f>H30/11</f>
        <v>18475.272727272728</v>
      </c>
      <c r="K30" s="30">
        <v>203</v>
      </c>
      <c r="L30" s="30">
        <v>219</v>
      </c>
      <c r="M30" s="4">
        <v>44</v>
      </c>
    </row>
    <row r="31" spans="1:13" ht="15.75" hidden="1" thickBot="1">
      <c r="A31" s="7">
        <v>39965</v>
      </c>
      <c r="B31" s="39">
        <v>21986.285714285714</v>
      </c>
      <c r="C31" s="34">
        <f t="shared" si="5"/>
        <v>273889</v>
      </c>
      <c r="D31" s="34">
        <v>0</v>
      </c>
      <c r="E31" s="34">
        <v>9586</v>
      </c>
      <c r="F31" s="34"/>
      <c r="G31" s="34">
        <f t="shared" si="1"/>
        <v>9586</v>
      </c>
      <c r="H31" s="34">
        <f t="shared" si="6"/>
        <v>212814</v>
      </c>
      <c r="I31" s="34">
        <f t="shared" si="2"/>
        <v>61075</v>
      </c>
      <c r="J31" s="34">
        <f>H31/12</f>
        <v>17734.5</v>
      </c>
      <c r="K31" s="40">
        <v>196</v>
      </c>
      <c r="L31" s="40">
        <v>205</v>
      </c>
      <c r="M31" s="41">
        <v>48</v>
      </c>
    </row>
    <row r="32" spans="1:13" ht="18" hidden="1">
      <c r="A32" s="7">
        <v>40725</v>
      </c>
      <c r="B32" s="37">
        <f aca="true" t="shared" si="7" ref="B32:B43">$B$85/12</f>
        <v>5635.75</v>
      </c>
      <c r="C32" s="33">
        <f>B32</f>
        <v>5635.75</v>
      </c>
      <c r="D32" s="33">
        <v>0</v>
      </c>
      <c r="E32" s="33">
        <v>1052</v>
      </c>
      <c r="F32" s="33">
        <v>0</v>
      </c>
      <c r="G32" s="33">
        <f aca="true" t="shared" si="8" ref="G32:G74">D32+E32+F32</f>
        <v>1052</v>
      </c>
      <c r="H32" s="33">
        <f>G32</f>
        <v>1052</v>
      </c>
      <c r="I32" s="33">
        <f t="shared" si="2"/>
        <v>4583.75</v>
      </c>
      <c r="J32" s="11">
        <f>H32</f>
        <v>1052</v>
      </c>
      <c r="K32" s="42">
        <v>330</v>
      </c>
      <c r="L32" s="42">
        <v>84</v>
      </c>
      <c r="M32" s="43">
        <v>38</v>
      </c>
    </row>
    <row r="33" spans="1:13" ht="18" hidden="1">
      <c r="A33" s="7">
        <v>40756</v>
      </c>
      <c r="B33" s="37">
        <f t="shared" si="7"/>
        <v>5635.75</v>
      </c>
      <c r="C33" s="33">
        <f aca="true" t="shared" si="9" ref="C33:C43">C32+B33</f>
        <v>11271.5</v>
      </c>
      <c r="D33" s="33">
        <v>0</v>
      </c>
      <c r="E33" s="33">
        <v>705</v>
      </c>
      <c r="F33" s="33">
        <v>0</v>
      </c>
      <c r="G33" s="33">
        <f t="shared" si="8"/>
        <v>705</v>
      </c>
      <c r="H33" s="33">
        <f aca="true" t="shared" si="10" ref="H33:H43">H32+G33</f>
        <v>1757</v>
      </c>
      <c r="I33" s="33">
        <f t="shared" si="2"/>
        <v>9514.5</v>
      </c>
      <c r="J33" s="11">
        <f>H33/2</f>
        <v>878.5</v>
      </c>
      <c r="K33" s="42">
        <v>277</v>
      </c>
      <c r="L33" s="42">
        <v>88</v>
      </c>
      <c r="M33" s="43">
        <v>29</v>
      </c>
    </row>
    <row r="34" spans="1:13" ht="18" hidden="1">
      <c r="A34" s="7">
        <v>40787</v>
      </c>
      <c r="B34" s="37">
        <f t="shared" si="7"/>
        <v>5635.75</v>
      </c>
      <c r="C34" s="33">
        <f t="shared" si="9"/>
        <v>16907.25</v>
      </c>
      <c r="D34" s="33">
        <v>0</v>
      </c>
      <c r="E34" s="33">
        <v>-483</v>
      </c>
      <c r="F34" s="33">
        <v>0</v>
      </c>
      <c r="G34" s="33">
        <f t="shared" si="8"/>
        <v>-483</v>
      </c>
      <c r="H34" s="33">
        <f t="shared" si="10"/>
        <v>1274</v>
      </c>
      <c r="I34" s="33">
        <f t="shared" si="2"/>
        <v>15633.25</v>
      </c>
      <c r="J34" s="11">
        <f>H34/3</f>
        <v>424.6666666666667</v>
      </c>
      <c r="K34" s="42">
        <v>299</v>
      </c>
      <c r="L34" s="42">
        <v>88</v>
      </c>
      <c r="M34" s="43">
        <v>36</v>
      </c>
    </row>
    <row r="35" spans="1:13" ht="18" hidden="1">
      <c r="A35" s="7">
        <v>40817</v>
      </c>
      <c r="B35" s="37">
        <f t="shared" si="7"/>
        <v>5635.75</v>
      </c>
      <c r="C35" s="33">
        <f t="shared" si="9"/>
        <v>22543</v>
      </c>
      <c r="D35" s="33">
        <v>0</v>
      </c>
      <c r="E35" s="33">
        <v>625</v>
      </c>
      <c r="F35" s="33">
        <v>0</v>
      </c>
      <c r="G35" s="33">
        <f t="shared" si="8"/>
        <v>625</v>
      </c>
      <c r="H35" s="33">
        <f t="shared" si="10"/>
        <v>1899</v>
      </c>
      <c r="I35" s="33">
        <f t="shared" si="2"/>
        <v>20644</v>
      </c>
      <c r="J35" s="11">
        <f>H35/4</f>
        <v>474.75</v>
      </c>
      <c r="K35" s="42">
        <v>320</v>
      </c>
      <c r="L35" s="42">
        <v>100</v>
      </c>
      <c r="M35" s="43">
        <v>31</v>
      </c>
    </row>
    <row r="36" spans="1:13" ht="18" hidden="1">
      <c r="A36" s="7">
        <v>40848</v>
      </c>
      <c r="B36" s="37">
        <f t="shared" si="7"/>
        <v>5635.75</v>
      </c>
      <c r="C36" s="33">
        <f t="shared" si="9"/>
        <v>28178.75</v>
      </c>
      <c r="D36" s="33">
        <v>0</v>
      </c>
      <c r="E36" s="33">
        <v>863</v>
      </c>
      <c r="F36" s="33">
        <v>0</v>
      </c>
      <c r="G36" s="33">
        <f t="shared" si="8"/>
        <v>863</v>
      </c>
      <c r="H36" s="33">
        <f t="shared" si="10"/>
        <v>2762</v>
      </c>
      <c r="I36" s="33">
        <f t="shared" si="2"/>
        <v>25416.75</v>
      </c>
      <c r="J36" s="11">
        <f>H36/5</f>
        <v>552.4</v>
      </c>
      <c r="K36" s="42">
        <v>327</v>
      </c>
      <c r="L36" s="42">
        <v>90</v>
      </c>
      <c r="M36" s="43">
        <v>28</v>
      </c>
    </row>
    <row r="37" spans="1:13" ht="18" hidden="1">
      <c r="A37" s="7">
        <v>40878</v>
      </c>
      <c r="B37" s="37">
        <f t="shared" si="7"/>
        <v>5635.75</v>
      </c>
      <c r="C37" s="33">
        <f t="shared" si="9"/>
        <v>33814.5</v>
      </c>
      <c r="D37" s="33">
        <v>0</v>
      </c>
      <c r="E37" s="33">
        <v>988</v>
      </c>
      <c r="F37" s="33">
        <v>0</v>
      </c>
      <c r="G37" s="33">
        <f t="shared" si="8"/>
        <v>988</v>
      </c>
      <c r="H37" s="33">
        <f t="shared" si="10"/>
        <v>3750</v>
      </c>
      <c r="I37" s="33">
        <f t="shared" si="2"/>
        <v>30064.5</v>
      </c>
      <c r="J37" s="11">
        <f>H37/6</f>
        <v>625</v>
      </c>
      <c r="K37" s="42">
        <v>342</v>
      </c>
      <c r="L37" s="42">
        <v>94</v>
      </c>
      <c r="M37" s="43">
        <v>24</v>
      </c>
    </row>
    <row r="38" spans="1:13" ht="18" hidden="1">
      <c r="A38" s="7">
        <v>40909</v>
      </c>
      <c r="B38" s="37">
        <f t="shared" si="7"/>
        <v>5635.75</v>
      </c>
      <c r="C38" s="33">
        <f t="shared" si="9"/>
        <v>39450.25</v>
      </c>
      <c r="D38" s="33">
        <v>0</v>
      </c>
      <c r="E38" s="33">
        <v>1238</v>
      </c>
      <c r="F38" s="33">
        <v>0</v>
      </c>
      <c r="G38" s="33">
        <f t="shared" si="8"/>
        <v>1238</v>
      </c>
      <c r="H38" s="33">
        <f t="shared" si="10"/>
        <v>4988</v>
      </c>
      <c r="I38" s="33">
        <f t="shared" si="2"/>
        <v>34462.25</v>
      </c>
      <c r="J38" s="11">
        <f>H38/7</f>
        <v>712.5714285714286</v>
      </c>
      <c r="K38" s="42">
        <v>359</v>
      </c>
      <c r="L38" s="42">
        <v>89</v>
      </c>
      <c r="M38" s="43">
        <v>24</v>
      </c>
    </row>
    <row r="39" spans="1:13" ht="18" hidden="1">
      <c r="A39" s="7">
        <v>40940</v>
      </c>
      <c r="B39" s="37">
        <f t="shared" si="7"/>
        <v>5635.75</v>
      </c>
      <c r="C39" s="33">
        <f t="shared" si="9"/>
        <v>45086</v>
      </c>
      <c r="D39" s="33">
        <v>0</v>
      </c>
      <c r="E39" s="33">
        <v>1454</v>
      </c>
      <c r="F39" s="33">
        <v>0</v>
      </c>
      <c r="G39" s="33">
        <f t="shared" si="8"/>
        <v>1454</v>
      </c>
      <c r="H39" s="33">
        <f t="shared" si="10"/>
        <v>6442</v>
      </c>
      <c r="I39" s="33">
        <f t="shared" si="2"/>
        <v>38644</v>
      </c>
      <c r="J39" s="11">
        <f>H39/8</f>
        <v>805.25</v>
      </c>
      <c r="K39" s="42">
        <v>367</v>
      </c>
      <c r="L39" s="42">
        <v>98</v>
      </c>
      <c r="M39" s="43">
        <v>25</v>
      </c>
    </row>
    <row r="40" spans="1:13" ht="18" hidden="1">
      <c r="A40" s="7">
        <v>40969</v>
      </c>
      <c r="B40" s="37">
        <f t="shared" si="7"/>
        <v>5635.75</v>
      </c>
      <c r="C40" s="33">
        <f t="shared" si="9"/>
        <v>50721.75</v>
      </c>
      <c r="D40" s="33">
        <v>0</v>
      </c>
      <c r="E40" s="33">
        <v>1624</v>
      </c>
      <c r="F40" s="33">
        <v>0</v>
      </c>
      <c r="G40" s="33">
        <f t="shared" si="8"/>
        <v>1624</v>
      </c>
      <c r="H40" s="33">
        <f t="shared" si="10"/>
        <v>8066</v>
      </c>
      <c r="I40" s="33">
        <f aca="true" t="shared" si="11" ref="I40:I59">C40-H40</f>
        <v>42655.75</v>
      </c>
      <c r="J40" s="11">
        <f>H40/9</f>
        <v>896.2222222222222</v>
      </c>
      <c r="K40" s="42">
        <v>360</v>
      </c>
      <c r="L40" s="42">
        <v>123</v>
      </c>
      <c r="M40" s="43">
        <v>24</v>
      </c>
    </row>
    <row r="41" spans="1:13" ht="18" hidden="1">
      <c r="A41" s="7">
        <v>41000</v>
      </c>
      <c r="B41" s="37">
        <f t="shared" si="7"/>
        <v>5635.75</v>
      </c>
      <c r="C41" s="33">
        <f t="shared" si="9"/>
        <v>56357.5</v>
      </c>
      <c r="D41" s="33">
        <v>0</v>
      </c>
      <c r="E41" s="33">
        <v>1851</v>
      </c>
      <c r="F41" s="33">
        <v>0</v>
      </c>
      <c r="G41" s="33">
        <f t="shared" si="8"/>
        <v>1851</v>
      </c>
      <c r="H41" s="33">
        <f t="shared" si="10"/>
        <v>9917</v>
      </c>
      <c r="I41" s="33">
        <f t="shared" si="11"/>
        <v>46440.5</v>
      </c>
      <c r="J41" s="11">
        <f>H41/10</f>
        <v>991.7</v>
      </c>
      <c r="K41" s="42">
        <v>408</v>
      </c>
      <c r="L41" s="42">
        <v>125</v>
      </c>
      <c r="M41" s="43">
        <v>19</v>
      </c>
    </row>
    <row r="42" spans="1:13" ht="18" hidden="1">
      <c r="A42" s="7">
        <v>41030</v>
      </c>
      <c r="B42" s="37">
        <f t="shared" si="7"/>
        <v>5635.75</v>
      </c>
      <c r="C42" s="33">
        <f t="shared" si="9"/>
        <v>61993.25</v>
      </c>
      <c r="D42" s="33">
        <v>0</v>
      </c>
      <c r="E42" s="33">
        <v>2430</v>
      </c>
      <c r="F42" s="33">
        <v>0</v>
      </c>
      <c r="G42" s="33">
        <f t="shared" si="8"/>
        <v>2430</v>
      </c>
      <c r="H42" s="33">
        <f t="shared" si="10"/>
        <v>12347</v>
      </c>
      <c r="I42" s="33">
        <f t="shared" si="11"/>
        <v>49646.25</v>
      </c>
      <c r="J42" s="11">
        <f>H42/11</f>
        <v>1122.4545454545455</v>
      </c>
      <c r="K42" s="42">
        <v>351</v>
      </c>
      <c r="L42" s="42">
        <v>99</v>
      </c>
      <c r="M42" s="43">
        <v>0</v>
      </c>
    </row>
    <row r="43" spans="1:13" ht="18.75" hidden="1" thickBot="1">
      <c r="A43" s="7">
        <v>41061</v>
      </c>
      <c r="B43" s="39">
        <f t="shared" si="7"/>
        <v>5635.75</v>
      </c>
      <c r="C43" s="34">
        <f t="shared" si="9"/>
        <v>67629</v>
      </c>
      <c r="D43" s="34">
        <v>0</v>
      </c>
      <c r="E43" s="34">
        <v>2650</v>
      </c>
      <c r="F43" s="34">
        <v>0</v>
      </c>
      <c r="G43" s="34">
        <f t="shared" si="8"/>
        <v>2650</v>
      </c>
      <c r="H43" s="34">
        <f t="shared" si="10"/>
        <v>14997</v>
      </c>
      <c r="I43" s="34">
        <f t="shared" si="11"/>
        <v>52632</v>
      </c>
      <c r="J43" s="12">
        <f>H43/12</f>
        <v>1249.75</v>
      </c>
      <c r="K43" s="40">
        <v>346</v>
      </c>
      <c r="L43" s="40">
        <v>94</v>
      </c>
      <c r="M43" s="41">
        <v>0</v>
      </c>
    </row>
    <row r="44" spans="1:13" ht="15" hidden="1">
      <c r="A44" s="7">
        <v>41091</v>
      </c>
      <c r="B44" s="37">
        <f aca="true" t="shared" si="12" ref="B44:B55">$B$86/12</f>
        <v>10528.166666666666</v>
      </c>
      <c r="C44" s="33">
        <f>B44</f>
        <v>10528.166666666666</v>
      </c>
      <c r="D44" s="33">
        <v>0</v>
      </c>
      <c r="E44" s="33">
        <v>1329</v>
      </c>
      <c r="F44" s="33">
        <v>0</v>
      </c>
      <c r="G44" s="33">
        <f t="shared" si="8"/>
        <v>1329</v>
      </c>
      <c r="H44" s="33">
        <f>G44</f>
        <v>1329</v>
      </c>
      <c r="I44" s="33">
        <f t="shared" si="11"/>
        <v>9199.166666666666</v>
      </c>
      <c r="J44" s="33">
        <f>H44/1</f>
        <v>1329</v>
      </c>
      <c r="K44" s="42">
        <v>311</v>
      </c>
      <c r="L44" s="42">
        <v>82</v>
      </c>
      <c r="M44" s="43"/>
    </row>
    <row r="45" spans="1:13" ht="15" hidden="1">
      <c r="A45" s="7">
        <v>41122</v>
      </c>
      <c r="B45" s="37">
        <f t="shared" si="12"/>
        <v>10528.166666666666</v>
      </c>
      <c r="C45" s="33">
        <f aca="true" t="shared" si="13" ref="C45:C55">C44+B45</f>
        <v>21056.333333333332</v>
      </c>
      <c r="D45" s="33">
        <v>0</v>
      </c>
      <c r="E45" s="33">
        <f>1282-F45</f>
        <v>1133</v>
      </c>
      <c r="F45" s="33">
        <v>149</v>
      </c>
      <c r="G45" s="33">
        <f t="shared" si="8"/>
        <v>1282</v>
      </c>
      <c r="H45" s="33">
        <f aca="true" t="shared" si="14" ref="H45:H55">H44+G45</f>
        <v>2611</v>
      </c>
      <c r="I45" s="33">
        <f t="shared" si="11"/>
        <v>18445.333333333332</v>
      </c>
      <c r="J45" s="33">
        <f>H45/2</f>
        <v>1305.5</v>
      </c>
      <c r="K45" s="42">
        <v>331</v>
      </c>
      <c r="L45" s="42">
        <v>64</v>
      </c>
      <c r="M45" s="43"/>
    </row>
    <row r="46" spans="1:13" ht="15" hidden="1">
      <c r="A46" s="7">
        <v>41153</v>
      </c>
      <c r="B46" s="37">
        <f t="shared" si="12"/>
        <v>10528.166666666666</v>
      </c>
      <c r="C46" s="33">
        <f t="shared" si="13"/>
        <v>31584.5</v>
      </c>
      <c r="D46" s="33">
        <v>0</v>
      </c>
      <c r="E46" s="33">
        <f>1211-F46</f>
        <v>1360</v>
      </c>
      <c r="F46" s="33">
        <v>-149</v>
      </c>
      <c r="G46" s="33">
        <f t="shared" si="8"/>
        <v>1211</v>
      </c>
      <c r="H46" s="33">
        <f t="shared" si="14"/>
        <v>3822</v>
      </c>
      <c r="I46" s="33">
        <f t="shared" si="11"/>
        <v>27762.5</v>
      </c>
      <c r="J46" s="33">
        <f>H46/3</f>
        <v>1274</v>
      </c>
      <c r="K46" s="42">
        <v>323</v>
      </c>
      <c r="L46" s="42">
        <v>87</v>
      </c>
      <c r="M46" s="43"/>
    </row>
    <row r="47" spans="1:13" ht="15" hidden="1">
      <c r="A47" s="7">
        <v>41183</v>
      </c>
      <c r="B47" s="37">
        <f t="shared" si="12"/>
        <v>10528.166666666666</v>
      </c>
      <c r="C47" s="33">
        <f t="shared" si="13"/>
        <v>42112.666666666664</v>
      </c>
      <c r="D47" s="33">
        <v>0</v>
      </c>
      <c r="E47" s="33">
        <v>1448</v>
      </c>
      <c r="F47" s="33">
        <v>0</v>
      </c>
      <c r="G47" s="33">
        <f t="shared" si="8"/>
        <v>1448</v>
      </c>
      <c r="H47" s="33">
        <f t="shared" si="14"/>
        <v>5270</v>
      </c>
      <c r="I47" s="33">
        <f t="shared" si="11"/>
        <v>36842.666666666664</v>
      </c>
      <c r="J47" s="33">
        <f>H47/4</f>
        <v>1317.5</v>
      </c>
      <c r="K47" s="42">
        <v>338</v>
      </c>
      <c r="L47" s="42">
        <v>90</v>
      </c>
      <c r="M47" s="43"/>
    </row>
    <row r="48" spans="1:13" ht="15" hidden="1">
      <c r="A48" s="7">
        <v>41214</v>
      </c>
      <c r="B48" s="37">
        <f t="shared" si="12"/>
        <v>10528.166666666666</v>
      </c>
      <c r="C48" s="33">
        <f t="shared" si="13"/>
        <v>52640.83333333333</v>
      </c>
      <c r="D48" s="33">
        <v>0</v>
      </c>
      <c r="E48" s="33">
        <v>1272</v>
      </c>
      <c r="F48" s="33">
        <v>0</v>
      </c>
      <c r="G48" s="33">
        <f t="shared" si="8"/>
        <v>1272</v>
      </c>
      <c r="H48" s="33">
        <f t="shared" si="14"/>
        <v>6542</v>
      </c>
      <c r="I48" s="33">
        <f t="shared" si="11"/>
        <v>46098.83333333333</v>
      </c>
      <c r="J48" s="33">
        <f>H48/5</f>
        <v>1308.4</v>
      </c>
      <c r="K48" s="42">
        <v>355</v>
      </c>
      <c r="L48" s="42">
        <v>93</v>
      </c>
      <c r="M48" s="43"/>
    </row>
    <row r="49" spans="1:13" ht="15" hidden="1">
      <c r="A49" s="7">
        <v>41244</v>
      </c>
      <c r="B49" s="37">
        <f t="shared" si="12"/>
        <v>10528.166666666666</v>
      </c>
      <c r="C49" s="33">
        <f t="shared" si="13"/>
        <v>63168.99999999999</v>
      </c>
      <c r="D49" s="33">
        <v>0</v>
      </c>
      <c r="E49" s="33">
        <v>1536</v>
      </c>
      <c r="F49" s="33">
        <v>0</v>
      </c>
      <c r="G49" s="33">
        <f t="shared" si="8"/>
        <v>1536</v>
      </c>
      <c r="H49" s="33">
        <f t="shared" si="14"/>
        <v>8078</v>
      </c>
      <c r="I49" s="33">
        <f t="shared" si="11"/>
        <v>55090.99999999999</v>
      </c>
      <c r="J49" s="33">
        <f>H49/6</f>
        <v>1346.3333333333333</v>
      </c>
      <c r="K49" s="42"/>
      <c r="L49" s="42"/>
      <c r="M49" s="43"/>
    </row>
    <row r="50" spans="1:13" ht="15" hidden="1">
      <c r="A50" s="7">
        <v>41275</v>
      </c>
      <c r="B50" s="37">
        <f t="shared" si="12"/>
        <v>10528.166666666666</v>
      </c>
      <c r="C50" s="33">
        <f t="shared" si="13"/>
        <v>73697.16666666666</v>
      </c>
      <c r="D50" s="33">
        <v>0</v>
      </c>
      <c r="E50" s="33">
        <v>2424</v>
      </c>
      <c r="F50" s="33">
        <v>0</v>
      </c>
      <c r="G50" s="33">
        <f t="shared" si="8"/>
        <v>2424</v>
      </c>
      <c r="H50" s="33">
        <f t="shared" si="14"/>
        <v>10502</v>
      </c>
      <c r="I50" s="33">
        <f t="shared" si="11"/>
        <v>63195.16666666666</v>
      </c>
      <c r="J50" s="33">
        <f>H50/7</f>
        <v>1500.2857142857142</v>
      </c>
      <c r="K50" s="42"/>
      <c r="L50" s="42"/>
      <c r="M50" s="43"/>
    </row>
    <row r="51" spans="1:13" ht="15" hidden="1">
      <c r="A51" s="7">
        <v>41306</v>
      </c>
      <c r="B51" s="37">
        <f t="shared" si="12"/>
        <v>10528.166666666666</v>
      </c>
      <c r="C51" s="33">
        <f t="shared" si="13"/>
        <v>84225.33333333333</v>
      </c>
      <c r="D51" s="33">
        <v>0</v>
      </c>
      <c r="E51" s="33">
        <v>2421</v>
      </c>
      <c r="F51" s="33">
        <v>0</v>
      </c>
      <c r="G51" s="33">
        <f t="shared" si="8"/>
        <v>2421</v>
      </c>
      <c r="H51" s="33">
        <f t="shared" si="14"/>
        <v>12923</v>
      </c>
      <c r="I51" s="33">
        <f t="shared" si="11"/>
        <v>71302.33333333333</v>
      </c>
      <c r="J51" s="33">
        <f>H51/8</f>
        <v>1615.375</v>
      </c>
      <c r="K51" s="42"/>
      <c r="L51" s="42"/>
      <c r="M51" s="43"/>
    </row>
    <row r="52" spans="1:13" ht="15" hidden="1">
      <c r="A52" s="7">
        <v>41334</v>
      </c>
      <c r="B52" s="37">
        <f t="shared" si="12"/>
        <v>10528.166666666666</v>
      </c>
      <c r="C52" s="33">
        <f t="shared" si="13"/>
        <v>94753.5</v>
      </c>
      <c r="D52" s="33">
        <v>0</v>
      </c>
      <c r="E52" s="33">
        <v>2598</v>
      </c>
      <c r="F52" s="33">
        <v>0</v>
      </c>
      <c r="G52" s="33">
        <f t="shared" si="8"/>
        <v>2598</v>
      </c>
      <c r="H52" s="33">
        <f t="shared" si="14"/>
        <v>15521</v>
      </c>
      <c r="I52" s="33">
        <f t="shared" si="11"/>
        <v>79232.5</v>
      </c>
      <c r="J52" s="33">
        <f>H52/9</f>
        <v>1724.5555555555557</v>
      </c>
      <c r="K52" s="42"/>
      <c r="L52" s="42"/>
      <c r="M52" s="43"/>
    </row>
    <row r="53" spans="1:13" ht="15" hidden="1">
      <c r="A53" s="7">
        <v>41365</v>
      </c>
      <c r="B53" s="37">
        <f t="shared" si="12"/>
        <v>10528.166666666666</v>
      </c>
      <c r="C53" s="33">
        <f t="shared" si="13"/>
        <v>105281.66666666667</v>
      </c>
      <c r="D53" s="33">
        <v>0</v>
      </c>
      <c r="E53" s="33">
        <v>1233</v>
      </c>
      <c r="F53" s="33">
        <v>0</v>
      </c>
      <c r="G53" s="33">
        <f t="shared" si="8"/>
        <v>1233</v>
      </c>
      <c r="H53" s="33">
        <f t="shared" si="14"/>
        <v>16754</v>
      </c>
      <c r="I53" s="33">
        <f t="shared" si="11"/>
        <v>88527.66666666667</v>
      </c>
      <c r="J53" s="33">
        <f>H53/10</f>
        <v>1675.4</v>
      </c>
      <c r="K53" s="42"/>
      <c r="L53" s="42"/>
      <c r="M53" s="43"/>
    </row>
    <row r="54" spans="1:13" ht="15" hidden="1">
      <c r="A54" s="7">
        <v>41395</v>
      </c>
      <c r="B54" s="37">
        <f t="shared" si="12"/>
        <v>10528.166666666666</v>
      </c>
      <c r="C54" s="33">
        <f t="shared" si="13"/>
        <v>115809.83333333334</v>
      </c>
      <c r="D54" s="33">
        <v>0</v>
      </c>
      <c r="E54" s="33">
        <v>2710</v>
      </c>
      <c r="F54" s="33">
        <v>0</v>
      </c>
      <c r="G54" s="33">
        <f t="shared" si="8"/>
        <v>2710</v>
      </c>
      <c r="H54" s="33">
        <f t="shared" si="14"/>
        <v>19464</v>
      </c>
      <c r="I54" s="33">
        <f t="shared" si="11"/>
        <v>96345.83333333334</v>
      </c>
      <c r="J54" s="33">
        <f>H54/11</f>
        <v>1769.4545454545455</v>
      </c>
      <c r="K54" s="42"/>
      <c r="L54" s="42"/>
      <c r="M54" s="43"/>
    </row>
    <row r="55" spans="1:13" ht="15.75" hidden="1" thickBot="1">
      <c r="A55" s="7">
        <v>41426</v>
      </c>
      <c r="B55" s="39">
        <f t="shared" si="12"/>
        <v>10528.166666666666</v>
      </c>
      <c r="C55" s="34">
        <f t="shared" si="13"/>
        <v>126338.00000000001</v>
      </c>
      <c r="D55" s="34">
        <v>0</v>
      </c>
      <c r="E55" s="34">
        <v>2033</v>
      </c>
      <c r="F55" s="34">
        <v>0</v>
      </c>
      <c r="G55" s="34">
        <f t="shared" si="8"/>
        <v>2033</v>
      </c>
      <c r="H55" s="34">
        <f t="shared" si="14"/>
        <v>21497</v>
      </c>
      <c r="I55" s="34">
        <f t="shared" si="11"/>
        <v>104841.00000000001</v>
      </c>
      <c r="J55" s="34">
        <f>H55/12</f>
        <v>1791.4166666666667</v>
      </c>
      <c r="K55" s="40"/>
      <c r="L55" s="40"/>
      <c r="M55" s="41"/>
    </row>
    <row r="56" spans="1:13" ht="15" hidden="1">
      <c r="A56" s="7">
        <v>41456</v>
      </c>
      <c r="B56" s="37">
        <f>$B$91/24</f>
        <v>11119.25</v>
      </c>
      <c r="C56" s="33">
        <f>B56</f>
        <v>11119.25</v>
      </c>
      <c r="D56" s="33">
        <v>0</v>
      </c>
      <c r="E56" s="33">
        <v>3407</v>
      </c>
      <c r="F56" s="33">
        <v>0</v>
      </c>
      <c r="G56" s="33">
        <f t="shared" si="8"/>
        <v>3407</v>
      </c>
      <c r="H56" s="33">
        <f>G56</f>
        <v>3407</v>
      </c>
      <c r="I56" s="33">
        <f t="shared" si="11"/>
        <v>7712.25</v>
      </c>
      <c r="J56" s="33">
        <f>H56</f>
        <v>3407</v>
      </c>
      <c r="K56" s="42">
        <v>290</v>
      </c>
      <c r="L56" s="42">
        <v>102</v>
      </c>
      <c r="M56" s="43"/>
    </row>
    <row r="57" spans="1:13" ht="15" hidden="1">
      <c r="A57" s="7">
        <v>41487</v>
      </c>
      <c r="B57" s="37">
        <f aca="true" t="shared" si="15" ref="B57:B79">$B$91/24</f>
        <v>11119.25</v>
      </c>
      <c r="C57" s="33">
        <f aca="true" t="shared" si="16" ref="C57:C79">C56+B57</f>
        <v>22238.5</v>
      </c>
      <c r="D57" s="33">
        <v>0</v>
      </c>
      <c r="E57" s="33">
        <v>2648</v>
      </c>
      <c r="F57" s="33">
        <v>0</v>
      </c>
      <c r="G57" s="33">
        <f t="shared" si="8"/>
        <v>2648</v>
      </c>
      <c r="H57" s="33">
        <f aca="true" t="shared" si="17" ref="H57:H62">G57+H56</f>
        <v>6055</v>
      </c>
      <c r="I57" s="33">
        <f t="shared" si="11"/>
        <v>16183.5</v>
      </c>
      <c r="J57" s="33">
        <f>H57/2</f>
        <v>3027.5</v>
      </c>
      <c r="K57" s="42">
        <v>272</v>
      </c>
      <c r="L57" s="42">
        <v>93</v>
      </c>
      <c r="M57" s="43"/>
    </row>
    <row r="58" spans="1:13" ht="15" hidden="1">
      <c r="A58" s="7">
        <v>41518</v>
      </c>
      <c r="B58" s="37">
        <f t="shared" si="15"/>
        <v>11119.25</v>
      </c>
      <c r="C58" s="33">
        <f t="shared" si="16"/>
        <v>33357.75</v>
      </c>
      <c r="D58" s="33">
        <v>0</v>
      </c>
      <c r="E58" s="33">
        <v>3298</v>
      </c>
      <c r="F58" s="33">
        <v>0</v>
      </c>
      <c r="G58" s="33">
        <f t="shared" si="8"/>
        <v>3298</v>
      </c>
      <c r="H58" s="33">
        <f t="shared" si="17"/>
        <v>9353</v>
      </c>
      <c r="I58" s="33">
        <f t="shared" si="11"/>
        <v>24004.75</v>
      </c>
      <c r="J58" s="33">
        <f>H58/3</f>
        <v>3117.6666666666665</v>
      </c>
      <c r="K58" s="42">
        <v>280</v>
      </c>
      <c r="L58" s="42">
        <v>101</v>
      </c>
      <c r="M58" s="43"/>
    </row>
    <row r="59" spans="1:13" ht="15" hidden="1">
      <c r="A59" s="7">
        <v>41548</v>
      </c>
      <c r="B59" s="37">
        <f t="shared" si="15"/>
        <v>11119.25</v>
      </c>
      <c r="C59" s="33">
        <f t="shared" si="16"/>
        <v>44477</v>
      </c>
      <c r="D59" s="33">
        <v>0</v>
      </c>
      <c r="E59" s="33">
        <v>2701.74</v>
      </c>
      <c r="F59" s="33">
        <v>0</v>
      </c>
      <c r="G59" s="33">
        <f t="shared" si="8"/>
        <v>2701.74</v>
      </c>
      <c r="H59" s="33">
        <f t="shared" si="17"/>
        <v>12054.74</v>
      </c>
      <c r="I59" s="33">
        <f t="shared" si="11"/>
        <v>32422.260000000002</v>
      </c>
      <c r="J59" s="33">
        <f>H59/4</f>
        <v>3013.685</v>
      </c>
      <c r="K59" s="42">
        <v>284</v>
      </c>
      <c r="L59" s="42">
        <v>91</v>
      </c>
      <c r="M59" s="43"/>
    </row>
    <row r="60" spans="1:13" ht="15" hidden="1">
      <c r="A60" s="7">
        <v>41579</v>
      </c>
      <c r="B60" s="37">
        <f t="shared" si="15"/>
        <v>11119.25</v>
      </c>
      <c r="C60" s="33">
        <f t="shared" si="16"/>
        <v>55596.25</v>
      </c>
      <c r="D60" s="33">
        <v>0</v>
      </c>
      <c r="E60" s="33">
        <v>2010.08</v>
      </c>
      <c r="F60" s="33">
        <v>0</v>
      </c>
      <c r="G60" s="33">
        <f t="shared" si="8"/>
        <v>2010.08</v>
      </c>
      <c r="H60" s="33">
        <f t="shared" si="17"/>
        <v>14064.82</v>
      </c>
      <c r="I60" s="33">
        <f aca="true" t="shared" si="18" ref="I60:I65">C60-H60</f>
        <v>41531.43</v>
      </c>
      <c r="J60" s="33">
        <f>H60/5</f>
        <v>2812.964</v>
      </c>
      <c r="K60" s="42">
        <v>289</v>
      </c>
      <c r="L60" s="42">
        <v>77</v>
      </c>
      <c r="M60" s="43"/>
    </row>
    <row r="61" spans="1:13" ht="15" hidden="1">
      <c r="A61" s="7">
        <v>41609</v>
      </c>
      <c r="B61" s="37">
        <f t="shared" si="15"/>
        <v>11119.25</v>
      </c>
      <c r="C61" s="33">
        <f t="shared" si="16"/>
        <v>66715.5</v>
      </c>
      <c r="D61" s="33">
        <v>0</v>
      </c>
      <c r="E61" s="33">
        <v>1611.4</v>
      </c>
      <c r="F61" s="33">
        <v>0</v>
      </c>
      <c r="G61" s="33">
        <f t="shared" si="8"/>
        <v>1611.4</v>
      </c>
      <c r="H61" s="33">
        <f t="shared" si="17"/>
        <v>15676.22</v>
      </c>
      <c r="I61" s="33">
        <f t="shared" si="18"/>
        <v>51039.28</v>
      </c>
      <c r="J61" s="33">
        <f>H61/6</f>
        <v>2612.7033333333334</v>
      </c>
      <c r="K61" s="42">
        <v>287</v>
      </c>
      <c r="L61" s="42">
        <v>73</v>
      </c>
      <c r="M61" s="43"/>
    </row>
    <row r="62" spans="1:13" ht="15" hidden="1">
      <c r="A62" s="7">
        <v>41640</v>
      </c>
      <c r="B62" s="37">
        <f t="shared" si="15"/>
        <v>11119.25</v>
      </c>
      <c r="C62" s="33">
        <f t="shared" si="16"/>
        <v>77834.75</v>
      </c>
      <c r="D62" s="33">
        <v>0</v>
      </c>
      <c r="E62" s="33">
        <v>1991.82</v>
      </c>
      <c r="F62" s="33">
        <v>0</v>
      </c>
      <c r="G62" s="33">
        <f t="shared" si="8"/>
        <v>1991.82</v>
      </c>
      <c r="H62" s="33">
        <f t="shared" si="17"/>
        <v>17668.04</v>
      </c>
      <c r="I62" s="33">
        <f t="shared" si="18"/>
        <v>60166.71</v>
      </c>
      <c r="J62" s="33">
        <f>H62/7</f>
        <v>2524.0057142857145</v>
      </c>
      <c r="K62" s="42">
        <v>292</v>
      </c>
      <c r="L62" s="42">
        <v>80</v>
      </c>
      <c r="M62" s="43"/>
    </row>
    <row r="63" spans="1:13" ht="15" hidden="1">
      <c r="A63" s="7">
        <v>41671</v>
      </c>
      <c r="B63" s="37">
        <f t="shared" si="15"/>
        <v>11119.25</v>
      </c>
      <c r="C63" s="33">
        <f t="shared" si="16"/>
        <v>88954</v>
      </c>
      <c r="D63" s="33">
        <v>0</v>
      </c>
      <c r="E63" s="33">
        <v>3003.34</v>
      </c>
      <c r="F63" s="33">
        <v>0</v>
      </c>
      <c r="G63" s="33">
        <f t="shared" si="8"/>
        <v>3003.34</v>
      </c>
      <c r="H63" s="33">
        <f aca="true" t="shared" si="19" ref="H63:H68">G63+H62</f>
        <v>20671.38</v>
      </c>
      <c r="I63" s="33">
        <f t="shared" si="18"/>
        <v>68282.62</v>
      </c>
      <c r="J63" s="33">
        <f>H63/8</f>
        <v>2583.9225</v>
      </c>
      <c r="K63" s="42">
        <v>284</v>
      </c>
      <c r="L63" s="42">
        <v>97</v>
      </c>
      <c r="M63" s="43"/>
    </row>
    <row r="64" spans="1:13" ht="15" hidden="1">
      <c r="A64" s="7">
        <v>41699</v>
      </c>
      <c r="B64" s="37">
        <f t="shared" si="15"/>
        <v>11119.25</v>
      </c>
      <c r="C64" s="33">
        <f t="shared" si="16"/>
        <v>100073.25</v>
      </c>
      <c r="D64" s="33">
        <v>0</v>
      </c>
      <c r="E64" s="33">
        <v>3531.9</v>
      </c>
      <c r="F64" s="33">
        <v>0</v>
      </c>
      <c r="G64" s="33">
        <f t="shared" si="8"/>
        <v>3531.9</v>
      </c>
      <c r="H64" s="33">
        <f t="shared" si="19"/>
        <v>24203.280000000002</v>
      </c>
      <c r="I64" s="33">
        <f t="shared" si="18"/>
        <v>75869.97</v>
      </c>
      <c r="J64" s="33">
        <f>H64/9</f>
        <v>2689.2533333333336</v>
      </c>
      <c r="K64" s="42">
        <v>255</v>
      </c>
      <c r="L64" s="42">
        <v>116</v>
      </c>
      <c r="M64" s="43"/>
    </row>
    <row r="65" spans="1:13" ht="15" hidden="1">
      <c r="A65" s="7">
        <v>41730</v>
      </c>
      <c r="B65" s="37">
        <f t="shared" si="15"/>
        <v>11119.25</v>
      </c>
      <c r="C65" s="33">
        <f t="shared" si="16"/>
        <v>111192.5</v>
      </c>
      <c r="D65" s="33">
        <v>0</v>
      </c>
      <c r="E65" s="33">
        <v>5791.16</v>
      </c>
      <c r="F65" s="33">
        <v>0</v>
      </c>
      <c r="G65" s="33">
        <f t="shared" si="8"/>
        <v>5791.16</v>
      </c>
      <c r="H65" s="33">
        <f t="shared" si="19"/>
        <v>29994.440000000002</v>
      </c>
      <c r="I65" s="33">
        <f t="shared" si="18"/>
        <v>81198.06</v>
      </c>
      <c r="J65" s="33">
        <f>H65/10</f>
        <v>2999.4440000000004</v>
      </c>
      <c r="K65" s="42">
        <v>262</v>
      </c>
      <c r="L65" s="42">
        <v>108</v>
      </c>
      <c r="M65" s="43"/>
    </row>
    <row r="66" spans="1:13" ht="15" hidden="1">
      <c r="A66" s="7">
        <v>41760</v>
      </c>
      <c r="B66" s="37">
        <f t="shared" si="15"/>
        <v>11119.25</v>
      </c>
      <c r="C66" s="33">
        <f t="shared" si="16"/>
        <v>122311.75</v>
      </c>
      <c r="D66" s="33">
        <v>0</v>
      </c>
      <c r="E66" s="33">
        <v>5778.09</v>
      </c>
      <c r="F66" s="33">
        <v>0</v>
      </c>
      <c r="G66" s="33">
        <f t="shared" si="8"/>
        <v>5778.09</v>
      </c>
      <c r="H66" s="33">
        <f t="shared" si="19"/>
        <v>35772.53</v>
      </c>
      <c r="I66" s="33">
        <f aca="true" t="shared" si="20" ref="I66:I71">C66-H66</f>
        <v>86539.22</v>
      </c>
      <c r="J66" s="33">
        <f>H66/11</f>
        <v>3252.0481818181815</v>
      </c>
      <c r="K66" s="42">
        <v>238</v>
      </c>
      <c r="L66" s="42">
        <v>127</v>
      </c>
      <c r="M66" s="43"/>
    </row>
    <row r="67" spans="1:13" ht="15" hidden="1">
      <c r="A67" s="7">
        <v>41791</v>
      </c>
      <c r="B67" s="37">
        <f t="shared" si="15"/>
        <v>11119.25</v>
      </c>
      <c r="C67" s="33">
        <f t="shared" si="16"/>
        <v>133431</v>
      </c>
      <c r="D67" s="33">
        <v>0</v>
      </c>
      <c r="E67" s="33">
        <v>8033</v>
      </c>
      <c r="F67" s="33">
        <v>0</v>
      </c>
      <c r="G67" s="33">
        <f t="shared" si="8"/>
        <v>8033</v>
      </c>
      <c r="H67" s="33">
        <f t="shared" si="19"/>
        <v>43805.53</v>
      </c>
      <c r="I67" s="33">
        <f t="shared" si="20"/>
        <v>89625.47</v>
      </c>
      <c r="J67" s="33">
        <f>H67/12</f>
        <v>3650.460833333333</v>
      </c>
      <c r="K67" s="42">
        <v>216</v>
      </c>
      <c r="L67" s="42">
        <v>123</v>
      </c>
      <c r="M67" s="43"/>
    </row>
    <row r="68" spans="1:13" ht="15">
      <c r="A68" s="7">
        <v>41821</v>
      </c>
      <c r="B68" s="37">
        <f t="shared" si="15"/>
        <v>11119.25</v>
      </c>
      <c r="C68" s="33">
        <f t="shared" si="16"/>
        <v>144550.25</v>
      </c>
      <c r="D68" s="33">
        <v>0</v>
      </c>
      <c r="E68" s="33">
        <v>7518</v>
      </c>
      <c r="F68" s="33">
        <v>0</v>
      </c>
      <c r="G68" s="33">
        <f t="shared" si="8"/>
        <v>7518</v>
      </c>
      <c r="H68" s="33">
        <f t="shared" si="19"/>
        <v>51323.53</v>
      </c>
      <c r="I68" s="33">
        <f t="shared" si="20"/>
        <v>93226.72</v>
      </c>
      <c r="J68" s="33">
        <f>H68/13</f>
        <v>3947.963846153846</v>
      </c>
      <c r="K68" s="42">
        <v>207</v>
      </c>
      <c r="L68" s="42">
        <v>126</v>
      </c>
      <c r="M68" s="43"/>
    </row>
    <row r="69" spans="1:13" ht="15">
      <c r="A69" s="7">
        <v>41852</v>
      </c>
      <c r="B69" s="37">
        <f t="shared" si="15"/>
        <v>11119.25</v>
      </c>
      <c r="C69" s="33">
        <f t="shared" si="16"/>
        <v>155669.5</v>
      </c>
      <c r="D69" s="33">
        <v>0</v>
      </c>
      <c r="E69" s="33">
        <v>9531</v>
      </c>
      <c r="F69" s="33">
        <v>0</v>
      </c>
      <c r="G69" s="33">
        <f t="shared" si="8"/>
        <v>9531</v>
      </c>
      <c r="H69" s="33">
        <f aca="true" t="shared" si="21" ref="H69:H74">G69+H68</f>
        <v>60854.53</v>
      </c>
      <c r="I69" s="33">
        <f t="shared" si="20"/>
        <v>94814.97</v>
      </c>
      <c r="J69" s="33">
        <f>H69/14</f>
        <v>4346.752142857143</v>
      </c>
      <c r="K69" s="42">
        <v>207</v>
      </c>
      <c r="L69" s="42">
        <v>137</v>
      </c>
      <c r="M69" s="43"/>
    </row>
    <row r="70" spans="1:13" ht="15">
      <c r="A70" s="7">
        <v>41883</v>
      </c>
      <c r="B70" s="37">
        <f t="shared" si="15"/>
        <v>11119.25</v>
      </c>
      <c r="C70" s="33">
        <f t="shared" si="16"/>
        <v>166788.75</v>
      </c>
      <c r="D70" s="33">
        <v>0</v>
      </c>
      <c r="E70" s="33">
        <v>11543</v>
      </c>
      <c r="F70" s="33">
        <v>0</v>
      </c>
      <c r="G70" s="33">
        <f t="shared" si="8"/>
        <v>11543</v>
      </c>
      <c r="H70" s="33">
        <f t="shared" si="21"/>
        <v>72397.53</v>
      </c>
      <c r="I70" s="33">
        <f t="shared" si="20"/>
        <v>94391.22</v>
      </c>
      <c r="J70" s="33">
        <f>H70/15</f>
        <v>4826.5019999999995</v>
      </c>
      <c r="K70" s="42">
        <v>194</v>
      </c>
      <c r="L70" s="42">
        <v>131</v>
      </c>
      <c r="M70" s="43"/>
    </row>
    <row r="71" spans="1:13" ht="15">
      <c r="A71" s="7">
        <v>41913</v>
      </c>
      <c r="B71" s="37">
        <f t="shared" si="15"/>
        <v>11119.25</v>
      </c>
      <c r="C71" s="33">
        <f t="shared" si="16"/>
        <v>177908</v>
      </c>
      <c r="D71" s="33">
        <v>0</v>
      </c>
      <c r="E71" s="33">
        <v>10866</v>
      </c>
      <c r="F71" s="33">
        <v>0</v>
      </c>
      <c r="G71" s="33">
        <f t="shared" si="8"/>
        <v>10866</v>
      </c>
      <c r="H71" s="33">
        <f t="shared" si="21"/>
        <v>83263.53</v>
      </c>
      <c r="I71" s="33">
        <f t="shared" si="20"/>
        <v>94644.47</v>
      </c>
      <c r="J71" s="33">
        <f>H71/16</f>
        <v>5203.970625</v>
      </c>
      <c r="K71" s="42">
        <v>192</v>
      </c>
      <c r="L71" s="42">
        <v>140</v>
      </c>
      <c r="M71" s="43"/>
    </row>
    <row r="72" spans="1:13" ht="15">
      <c r="A72" s="7">
        <v>41944</v>
      </c>
      <c r="B72" s="37">
        <f t="shared" si="15"/>
        <v>11119.25</v>
      </c>
      <c r="C72" s="33">
        <f t="shared" si="16"/>
        <v>189027.25</v>
      </c>
      <c r="D72" s="33">
        <v>0</v>
      </c>
      <c r="E72" s="33">
        <v>10269</v>
      </c>
      <c r="F72" s="33">
        <v>0</v>
      </c>
      <c r="G72" s="33">
        <f t="shared" si="8"/>
        <v>10269</v>
      </c>
      <c r="H72" s="33">
        <f t="shared" si="21"/>
        <v>93532.53</v>
      </c>
      <c r="I72" s="33">
        <f>C72-H72</f>
        <v>95494.72</v>
      </c>
      <c r="J72" s="33">
        <f>H72/17</f>
        <v>5501.913529411765</v>
      </c>
      <c r="K72" s="42">
        <v>207</v>
      </c>
      <c r="L72" s="42">
        <v>135</v>
      </c>
      <c r="M72" s="43"/>
    </row>
    <row r="73" spans="1:13" ht="15">
      <c r="A73" s="7">
        <v>41974</v>
      </c>
      <c r="B73" s="37">
        <f t="shared" si="15"/>
        <v>11119.25</v>
      </c>
      <c r="C73" s="33">
        <f t="shared" si="16"/>
        <v>200146.5</v>
      </c>
      <c r="D73" s="33">
        <v>0</v>
      </c>
      <c r="E73" s="33">
        <v>5731</v>
      </c>
      <c r="F73" s="33">
        <v>0</v>
      </c>
      <c r="G73" s="33">
        <f t="shared" si="8"/>
        <v>5731</v>
      </c>
      <c r="H73" s="33">
        <f t="shared" si="21"/>
        <v>99263.53</v>
      </c>
      <c r="I73" s="33">
        <f>C73-H73</f>
        <v>100882.97</v>
      </c>
      <c r="J73" s="33">
        <f>H73/18</f>
        <v>5514.640555555556</v>
      </c>
      <c r="K73" s="42">
        <v>203</v>
      </c>
      <c r="L73" s="42">
        <v>110</v>
      </c>
      <c r="M73" s="43"/>
    </row>
    <row r="74" spans="1:13" ht="15">
      <c r="A74" s="7">
        <v>42005</v>
      </c>
      <c r="B74" s="37">
        <f t="shared" si="15"/>
        <v>11119.25</v>
      </c>
      <c r="C74" s="33">
        <f t="shared" si="16"/>
        <v>211265.75</v>
      </c>
      <c r="D74" s="33">
        <v>0</v>
      </c>
      <c r="E74" s="33">
        <v>11043</v>
      </c>
      <c r="F74" s="33">
        <v>0</v>
      </c>
      <c r="G74" s="33">
        <f t="shared" si="8"/>
        <v>11043</v>
      </c>
      <c r="H74" s="33">
        <f t="shared" si="21"/>
        <v>110306.53</v>
      </c>
      <c r="I74" s="33">
        <f>C74-H74</f>
        <v>100959.22</v>
      </c>
      <c r="J74" s="33">
        <f>H74/19</f>
        <v>5805.606842105263</v>
      </c>
      <c r="K74" s="42">
        <v>222</v>
      </c>
      <c r="L74" s="42">
        <v>134</v>
      </c>
      <c r="M74" s="43"/>
    </row>
    <row r="75" spans="1:13" ht="15">
      <c r="A75" s="7">
        <v>42036</v>
      </c>
      <c r="B75" s="37">
        <f t="shared" si="15"/>
        <v>11119.25</v>
      </c>
      <c r="C75" s="33">
        <f t="shared" si="16"/>
        <v>222385</v>
      </c>
      <c r="D75" s="33"/>
      <c r="E75" s="33"/>
      <c r="F75" s="33"/>
      <c r="G75" s="33"/>
      <c r="H75" s="33"/>
      <c r="I75" s="33"/>
      <c r="J75" s="33"/>
      <c r="K75" s="42"/>
      <c r="L75" s="42"/>
      <c r="M75" s="43"/>
    </row>
    <row r="76" spans="1:13" ht="15">
      <c r="A76" s="7">
        <v>42064</v>
      </c>
      <c r="B76" s="37">
        <f t="shared" si="15"/>
        <v>11119.25</v>
      </c>
      <c r="C76" s="33">
        <f t="shared" si="16"/>
        <v>233504.25</v>
      </c>
      <c r="D76" s="33"/>
      <c r="E76" s="33"/>
      <c r="F76" s="33"/>
      <c r="G76" s="33"/>
      <c r="H76" s="33"/>
      <c r="I76" s="33"/>
      <c r="J76" s="33"/>
      <c r="K76" s="42"/>
      <c r="L76" s="42"/>
      <c r="M76" s="43"/>
    </row>
    <row r="77" spans="1:13" ht="15">
      <c r="A77" s="7">
        <v>42095</v>
      </c>
      <c r="B77" s="37">
        <f t="shared" si="15"/>
        <v>11119.25</v>
      </c>
      <c r="C77" s="33">
        <f t="shared" si="16"/>
        <v>244623.5</v>
      </c>
      <c r="D77" s="33"/>
      <c r="E77" s="33"/>
      <c r="F77" s="33"/>
      <c r="G77" s="33"/>
      <c r="H77" s="33"/>
      <c r="I77" s="33"/>
      <c r="J77" s="33"/>
      <c r="K77" s="42"/>
      <c r="L77" s="42"/>
      <c r="M77" s="43"/>
    </row>
    <row r="78" spans="1:13" ht="15">
      <c r="A78" s="7">
        <v>42125</v>
      </c>
      <c r="B78" s="37">
        <f t="shared" si="15"/>
        <v>11119.25</v>
      </c>
      <c r="C78" s="33">
        <f t="shared" si="16"/>
        <v>255742.75</v>
      </c>
      <c r="D78" s="33"/>
      <c r="E78" s="33"/>
      <c r="F78" s="33"/>
      <c r="G78" s="33"/>
      <c r="H78" s="33"/>
      <c r="I78" s="33"/>
      <c r="J78" s="33"/>
      <c r="K78" s="42"/>
      <c r="L78" s="42"/>
      <c r="M78" s="43"/>
    </row>
    <row r="79" spans="1:13" ht="15">
      <c r="A79" s="7">
        <v>42156</v>
      </c>
      <c r="B79" s="37">
        <f t="shared" si="15"/>
        <v>11119.25</v>
      </c>
      <c r="C79" s="33">
        <f t="shared" si="16"/>
        <v>266862</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335725</v>
      </c>
      <c r="C81" s="25">
        <f>SUM(B8:B19)</f>
        <v>335725</v>
      </c>
      <c r="D81" s="25">
        <f>SUM(D8:D19)</f>
        <v>40773</v>
      </c>
      <c r="E81" s="25">
        <f>SUM(E8:E19)</f>
        <v>183690</v>
      </c>
      <c r="F81" s="25"/>
      <c r="G81" s="25">
        <f>SUM(G8:G19)</f>
        <v>224463</v>
      </c>
      <c r="H81" s="25">
        <f>G81</f>
        <v>224463</v>
      </c>
      <c r="I81" s="25">
        <f>I19</f>
        <v>111262</v>
      </c>
      <c r="J81" s="25">
        <f>J19</f>
        <v>20346</v>
      </c>
      <c r="K81" s="30">
        <f>SUM(K8:K19)</f>
        <v>1583</v>
      </c>
      <c r="L81" s="30">
        <f>SUM(L8:L19)</f>
        <v>1827</v>
      </c>
      <c r="M81" s="30">
        <f>SUM(M8:M19)</f>
        <v>236</v>
      </c>
    </row>
    <row r="82" spans="1:13" ht="15" hidden="1">
      <c r="A82" s="20" t="s">
        <v>22</v>
      </c>
      <c r="B82" s="25">
        <v>273889</v>
      </c>
      <c r="C82" s="25">
        <f>C31</f>
        <v>273889</v>
      </c>
      <c r="D82" s="25">
        <f>SUM(D20:D31)</f>
        <v>38263</v>
      </c>
      <c r="E82" s="25">
        <f>SUM(E20:E31)</f>
        <v>174551</v>
      </c>
      <c r="F82" s="25"/>
      <c r="G82" s="25">
        <f>SUM(G20:G31)</f>
        <v>212814</v>
      </c>
      <c r="H82" s="25">
        <f>G82</f>
        <v>212814</v>
      </c>
      <c r="I82" s="25">
        <f>I31</f>
        <v>61075</v>
      </c>
      <c r="J82" s="25">
        <f>AVERAGE(G20:G31)</f>
        <v>17734.5</v>
      </c>
      <c r="K82" s="30">
        <f>SUM(K20:K31)</f>
        <v>2140</v>
      </c>
      <c r="L82" s="30">
        <f>SUM(L20:L31)</f>
        <v>2465</v>
      </c>
      <c r="M82" s="30">
        <f>SUM(M20:M31)</f>
        <v>547</v>
      </c>
    </row>
    <row r="83" spans="1:13" ht="15" hidden="1">
      <c r="A83" s="20" t="s">
        <v>23</v>
      </c>
      <c r="B83" s="25">
        <f>SUM(B81:B82)</f>
        <v>609614</v>
      </c>
      <c r="C83" s="25">
        <f>SUM(C81:C82)</f>
        <v>609614</v>
      </c>
      <c r="D83" s="25">
        <f>D81+D82</f>
        <v>79036</v>
      </c>
      <c r="E83" s="25">
        <f>E81+E82</f>
        <v>358241</v>
      </c>
      <c r="F83" s="25"/>
      <c r="G83" s="25">
        <f>G81+G82</f>
        <v>437277</v>
      </c>
      <c r="H83" s="25">
        <f>H81+H82</f>
        <v>437277</v>
      </c>
      <c r="I83" s="25"/>
      <c r="J83" s="25">
        <f>AVERAGE(G8:G31)</f>
        <v>18219.875</v>
      </c>
      <c r="K83" s="27">
        <f>SUM(K81:K82)</f>
        <v>3723</v>
      </c>
      <c r="L83" s="27">
        <f>SUM(L81:L82)</f>
        <v>4292</v>
      </c>
      <c r="M83" s="27">
        <f>SUM(M81:M82)</f>
        <v>783</v>
      </c>
    </row>
    <row r="84" spans="1:12" ht="15" hidden="1">
      <c r="A84" s="20"/>
      <c r="B84" s="25"/>
      <c r="C84" s="25"/>
      <c r="D84" s="25"/>
      <c r="E84" s="25"/>
      <c r="F84" s="25"/>
      <c r="G84" s="25"/>
      <c r="H84" s="25"/>
      <c r="I84" s="25"/>
      <c r="J84" s="25"/>
      <c r="K84" s="27"/>
      <c r="L84" s="27"/>
    </row>
    <row r="85" spans="1:13" ht="15" hidden="1">
      <c r="A85" s="20" t="s">
        <v>24</v>
      </c>
      <c r="B85" s="25">
        <v>67629</v>
      </c>
      <c r="C85" s="25">
        <f>C43</f>
        <v>67629</v>
      </c>
      <c r="D85" s="25">
        <f>SUM(D32:D43)</f>
        <v>0</v>
      </c>
      <c r="E85" s="25">
        <f>SUM(E32:E43)</f>
        <v>14997</v>
      </c>
      <c r="F85" s="25">
        <f>SUM(F32:F74)</f>
        <v>0</v>
      </c>
      <c r="G85" s="25">
        <f>SUM(G32:G43)</f>
        <v>14997</v>
      </c>
      <c r="H85" s="25">
        <f>G85</f>
        <v>14997</v>
      </c>
      <c r="I85" s="25">
        <f>I43</f>
        <v>52632</v>
      </c>
      <c r="J85" s="25">
        <f>AVERAGE(G32:G43)</f>
        <v>1249.75</v>
      </c>
      <c r="K85" s="30">
        <f>SUM(K32:K43)</f>
        <v>4086</v>
      </c>
      <c r="L85" s="30">
        <f>SUM(L32:L43)</f>
        <v>1172</v>
      </c>
      <c r="M85" s="4">
        <f>SUM(M32:M43)</f>
        <v>278</v>
      </c>
    </row>
    <row r="86" spans="1:13" ht="15" hidden="1">
      <c r="A86" s="20" t="s">
        <v>25</v>
      </c>
      <c r="B86" s="25">
        <v>126338</v>
      </c>
      <c r="C86" s="25">
        <f>SUM(B44:B55)</f>
        <v>126338.00000000001</v>
      </c>
      <c r="D86" s="25">
        <f>SUM(D44:D55)</f>
        <v>0</v>
      </c>
      <c r="E86" s="25">
        <f>SUM(E44:E55)</f>
        <v>21497</v>
      </c>
      <c r="F86" s="25">
        <f>SUM(F44:F55)</f>
        <v>0</v>
      </c>
      <c r="G86" s="25">
        <f>SUM(G44:G55)</f>
        <v>21497</v>
      </c>
      <c r="H86" s="25">
        <f>G86</f>
        <v>21497</v>
      </c>
      <c r="I86" s="25">
        <f>I55</f>
        <v>104841.00000000001</v>
      </c>
      <c r="J86" s="25">
        <f>J55</f>
        <v>1791.4166666666667</v>
      </c>
      <c r="K86" s="30">
        <f>SUM(K44:K55)</f>
        <v>1658</v>
      </c>
      <c r="L86" s="30">
        <f>SUM(L44:L55)</f>
        <v>416</v>
      </c>
      <c r="M86" s="44">
        <f>SUM(M44:M55)</f>
        <v>0</v>
      </c>
    </row>
    <row r="87" spans="1:13" ht="15" hidden="1">
      <c r="A87" s="20" t="s">
        <v>26</v>
      </c>
      <c r="B87" s="25">
        <f>B85+B86</f>
        <v>193967</v>
      </c>
      <c r="C87" s="25">
        <f aca="true" t="shared" si="22" ref="C87:M87">SUM(C85:C86)</f>
        <v>193967</v>
      </c>
      <c r="D87" s="25">
        <f t="shared" si="22"/>
        <v>0</v>
      </c>
      <c r="E87" s="25">
        <f t="shared" si="22"/>
        <v>36494</v>
      </c>
      <c r="F87" s="25">
        <f t="shared" si="22"/>
        <v>0</v>
      </c>
      <c r="G87" s="25">
        <f t="shared" si="22"/>
        <v>36494</v>
      </c>
      <c r="H87" s="25">
        <f t="shared" si="22"/>
        <v>36494</v>
      </c>
      <c r="I87" s="25">
        <f t="shared" si="22"/>
        <v>157473</v>
      </c>
      <c r="J87" s="25">
        <f t="shared" si="22"/>
        <v>3041.166666666667</v>
      </c>
      <c r="K87" s="27">
        <f t="shared" si="22"/>
        <v>5744</v>
      </c>
      <c r="L87" s="27">
        <f t="shared" si="22"/>
        <v>1588</v>
      </c>
      <c r="M87" s="27">
        <f t="shared" si="22"/>
        <v>278</v>
      </c>
    </row>
    <row r="88" spans="1:13" ht="15" hidden="1">
      <c r="A88" s="20"/>
      <c r="B88" s="25"/>
      <c r="C88" s="25"/>
      <c r="D88" s="25"/>
      <c r="E88" s="25"/>
      <c r="F88" s="25"/>
      <c r="G88" s="25"/>
      <c r="H88" s="25"/>
      <c r="I88" s="25"/>
      <c r="J88" s="25"/>
      <c r="K88" s="27"/>
      <c r="L88" s="27"/>
      <c r="M88" s="27"/>
    </row>
    <row r="89" spans="1:13" s="56" customFormat="1" ht="18" hidden="1">
      <c r="A89" s="52" t="s">
        <v>27</v>
      </c>
      <c r="B89" s="53">
        <f>294986/2</f>
        <v>147493</v>
      </c>
      <c r="C89" s="53">
        <f>C67</f>
        <v>133431</v>
      </c>
      <c r="D89" s="53">
        <f>SUM(D56:D67)</f>
        <v>0</v>
      </c>
      <c r="E89" s="53">
        <f>SUM(E56:E67)</f>
        <v>43805.53</v>
      </c>
      <c r="F89" s="53">
        <f>SUM(F56:F67)</f>
        <v>0</v>
      </c>
      <c r="G89" s="53">
        <f>SUM(G56:G67)</f>
        <v>43805.53</v>
      </c>
      <c r="H89" s="53">
        <f>H67</f>
        <v>43805.53</v>
      </c>
      <c r="I89" s="53">
        <f>I67</f>
        <v>89625.47</v>
      </c>
      <c r="J89" s="53">
        <f>J67</f>
        <v>3650.460833333333</v>
      </c>
      <c r="K89" s="54">
        <f>SUM(K56:K67)</f>
        <v>3249</v>
      </c>
      <c r="L89" s="54">
        <f>SUM(L56:L67)</f>
        <v>1188</v>
      </c>
      <c r="M89" s="55"/>
    </row>
    <row r="90" spans="1:13" s="56" customFormat="1" ht="18" hidden="1">
      <c r="A90" s="52" t="s">
        <v>28</v>
      </c>
      <c r="B90" s="53">
        <f>294986/2</f>
        <v>147493</v>
      </c>
      <c r="C90" s="53">
        <v>147493</v>
      </c>
      <c r="D90" s="53">
        <f>SUM(D68:D79)</f>
        <v>0</v>
      </c>
      <c r="E90" s="53">
        <f>SUM(E68:E79)</f>
        <v>66501</v>
      </c>
      <c r="F90" s="53">
        <f>SUM(F68:F79)</f>
        <v>0</v>
      </c>
      <c r="G90" s="53">
        <f>SUM(G68:G79)</f>
        <v>66501</v>
      </c>
      <c r="H90" s="55"/>
      <c r="I90" s="58"/>
      <c r="J90" s="53"/>
      <c r="K90" s="54">
        <f>SUM(K68:K79)</f>
        <v>1432</v>
      </c>
      <c r="L90" s="54">
        <f>SUM(L68:L79)</f>
        <v>913</v>
      </c>
      <c r="M90" s="55"/>
    </row>
    <row r="91" spans="1:13" ht="18">
      <c r="A91" s="20" t="s">
        <v>29</v>
      </c>
      <c r="B91" s="8">
        <v>266862</v>
      </c>
      <c r="C91" s="8">
        <f>C79</f>
        <v>266862</v>
      </c>
      <c r="D91" s="8">
        <f aca="true" t="shared" si="23" ref="D91:L91">D89+D90</f>
        <v>0</v>
      </c>
      <c r="E91" s="8">
        <f t="shared" si="23"/>
        <v>110306.53</v>
      </c>
      <c r="F91" s="8">
        <f t="shared" si="23"/>
        <v>0</v>
      </c>
      <c r="G91" s="8">
        <f t="shared" si="23"/>
        <v>110306.53</v>
      </c>
      <c r="H91" s="8">
        <f>H74</f>
        <v>110306.53</v>
      </c>
      <c r="I91" s="8">
        <f>I74</f>
        <v>100959.22</v>
      </c>
      <c r="J91" s="8">
        <f>J74</f>
        <v>5805.606842105263</v>
      </c>
      <c r="K91" s="9">
        <v>11044</v>
      </c>
      <c r="L91" s="9">
        <f t="shared" si="23"/>
        <v>2101</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73"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3.00390625" style="4" customWidth="1"/>
    <col min="3" max="12" width="16.421875" style="4" customWidth="1"/>
    <col min="13" max="13" width="8.7109375" style="4" hidden="1" customWidth="1"/>
  </cols>
  <sheetData>
    <row r="1" spans="1:10" ht="18">
      <c r="A1" s="1" t="s">
        <v>0</v>
      </c>
      <c r="B1" s="2"/>
      <c r="C1" s="3"/>
      <c r="D1" s="3"/>
      <c r="E1" s="3"/>
      <c r="F1" s="3"/>
      <c r="G1" s="2"/>
      <c r="H1" s="2"/>
      <c r="I1" s="2"/>
      <c r="J1" s="2"/>
    </row>
    <row r="2" spans="1:2" ht="18">
      <c r="A2" s="5" t="s">
        <v>1</v>
      </c>
      <c r="B2" s="6">
        <v>14</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5439.666666666667</v>
      </c>
      <c r="C8" s="25">
        <f>B8</f>
        <v>5439.666666666667</v>
      </c>
      <c r="D8" s="25">
        <v>1100</v>
      </c>
      <c r="E8" s="25">
        <v>2300</v>
      </c>
      <c r="F8" s="25"/>
      <c r="G8" s="25">
        <f aca="true" t="shared" si="1" ref="G8:G31">D8+E8</f>
        <v>3400</v>
      </c>
      <c r="H8" s="25">
        <f>G8</f>
        <v>3400</v>
      </c>
      <c r="I8" s="25">
        <f aca="true" t="shared" si="2" ref="I8:I39">C8-H8</f>
        <v>2039.666666666667</v>
      </c>
      <c r="J8" s="25">
        <f>H8</f>
        <v>3400</v>
      </c>
      <c r="K8" s="30">
        <v>52</v>
      </c>
      <c r="L8" s="30">
        <v>34</v>
      </c>
    </row>
    <row r="9" spans="1:12" ht="15" hidden="1">
      <c r="A9" s="7">
        <v>39295</v>
      </c>
      <c r="B9" s="25">
        <f t="shared" si="0"/>
        <v>5439.666666666667</v>
      </c>
      <c r="C9" s="25">
        <f aca="true" t="shared" si="3" ref="C9:C19">C8+B9</f>
        <v>10879.333333333334</v>
      </c>
      <c r="D9" s="25">
        <v>282</v>
      </c>
      <c r="E9" s="25">
        <v>3448</v>
      </c>
      <c r="F9" s="25"/>
      <c r="G9" s="25">
        <f t="shared" si="1"/>
        <v>3730</v>
      </c>
      <c r="H9" s="25">
        <f aca="true" t="shared" si="4" ref="H9:H19">H8+G9</f>
        <v>7130</v>
      </c>
      <c r="I9" s="25">
        <f t="shared" si="2"/>
        <v>3749.333333333334</v>
      </c>
      <c r="J9" s="25">
        <f>AVERAGE(G8:G9)</f>
        <v>3565</v>
      </c>
      <c r="K9" s="30">
        <v>47</v>
      </c>
      <c r="L9" s="30">
        <v>34</v>
      </c>
    </row>
    <row r="10" spans="1:12" ht="15" hidden="1">
      <c r="A10" s="7">
        <v>39326</v>
      </c>
      <c r="B10" s="25">
        <f t="shared" si="0"/>
        <v>5439.666666666667</v>
      </c>
      <c r="C10" s="25">
        <f t="shared" si="3"/>
        <v>16319</v>
      </c>
      <c r="D10" s="25">
        <v>0</v>
      </c>
      <c r="E10" s="25">
        <v>6200</v>
      </c>
      <c r="F10" s="25"/>
      <c r="G10" s="25">
        <f t="shared" si="1"/>
        <v>6200</v>
      </c>
      <c r="H10" s="25">
        <f t="shared" si="4"/>
        <v>13330</v>
      </c>
      <c r="I10" s="25">
        <f t="shared" si="2"/>
        <v>2989</v>
      </c>
      <c r="J10" s="25">
        <f>AVERAGE(G8:G10)</f>
        <v>4443.333333333333</v>
      </c>
      <c r="K10" s="30">
        <v>50</v>
      </c>
      <c r="L10" s="30">
        <v>48</v>
      </c>
    </row>
    <row r="11" spans="1:13" ht="15" hidden="1">
      <c r="A11" s="7">
        <v>39356</v>
      </c>
      <c r="B11" s="25">
        <f t="shared" si="0"/>
        <v>5439.666666666667</v>
      </c>
      <c r="C11" s="25">
        <f t="shared" si="3"/>
        <v>21758.666666666668</v>
      </c>
      <c r="D11" s="25">
        <v>175</v>
      </c>
      <c r="E11" s="25">
        <v>5033</v>
      </c>
      <c r="F11" s="25"/>
      <c r="G11" s="25">
        <f t="shared" si="1"/>
        <v>5208</v>
      </c>
      <c r="H11" s="25">
        <f t="shared" si="4"/>
        <v>18538</v>
      </c>
      <c r="I11" s="25">
        <f t="shared" si="2"/>
        <v>3220.666666666668</v>
      </c>
      <c r="J11" s="25">
        <f>AVERAGE(G8:G11)</f>
        <v>4634.5</v>
      </c>
      <c r="K11" s="30">
        <v>42</v>
      </c>
      <c r="L11" s="30">
        <v>33</v>
      </c>
      <c r="M11" s="29">
        <v>0</v>
      </c>
    </row>
    <row r="12" spans="1:13" ht="15" hidden="1">
      <c r="A12" s="7">
        <v>39387</v>
      </c>
      <c r="B12" s="25">
        <f t="shared" si="0"/>
        <v>5439.666666666667</v>
      </c>
      <c r="C12" s="25">
        <f t="shared" si="3"/>
        <v>27198.333333333336</v>
      </c>
      <c r="D12" s="25">
        <v>341</v>
      </c>
      <c r="E12" s="25">
        <v>6483</v>
      </c>
      <c r="F12" s="25"/>
      <c r="G12" s="25">
        <f t="shared" si="1"/>
        <v>6824</v>
      </c>
      <c r="H12" s="25">
        <f t="shared" si="4"/>
        <v>25362</v>
      </c>
      <c r="I12" s="25">
        <f t="shared" si="2"/>
        <v>1836.3333333333358</v>
      </c>
      <c r="J12" s="25">
        <f>AVERAGE(G8:G12)</f>
        <v>5072.4</v>
      </c>
      <c r="K12" s="30">
        <v>47</v>
      </c>
      <c r="L12" s="30">
        <v>49</v>
      </c>
      <c r="M12" s="29">
        <v>2</v>
      </c>
    </row>
    <row r="13" spans="1:13" ht="15" hidden="1">
      <c r="A13" s="7">
        <v>39417</v>
      </c>
      <c r="B13" s="25">
        <f t="shared" si="0"/>
        <v>5439.666666666667</v>
      </c>
      <c r="C13" s="25">
        <f t="shared" si="3"/>
        <v>32638.000000000004</v>
      </c>
      <c r="D13" s="25">
        <v>50</v>
      </c>
      <c r="E13" s="25">
        <v>7356</v>
      </c>
      <c r="F13" s="25"/>
      <c r="G13" s="25">
        <f t="shared" si="1"/>
        <v>7406</v>
      </c>
      <c r="H13" s="25">
        <f t="shared" si="4"/>
        <v>32768</v>
      </c>
      <c r="I13" s="25">
        <f t="shared" si="2"/>
        <v>-129.99999999999636</v>
      </c>
      <c r="J13" s="25">
        <f>AVERAGE(G12:G13)</f>
        <v>7115</v>
      </c>
      <c r="K13" s="30">
        <v>51</v>
      </c>
      <c r="L13" s="30">
        <v>66</v>
      </c>
      <c r="M13" s="29">
        <v>7</v>
      </c>
    </row>
    <row r="14" spans="1:13" ht="15" hidden="1">
      <c r="A14" s="7">
        <v>39448</v>
      </c>
      <c r="B14" s="25">
        <f t="shared" si="0"/>
        <v>5439.666666666667</v>
      </c>
      <c r="C14" s="25">
        <f t="shared" si="3"/>
        <v>38077.66666666667</v>
      </c>
      <c r="D14" s="25">
        <v>0</v>
      </c>
      <c r="E14" s="25">
        <v>8077</v>
      </c>
      <c r="F14" s="25"/>
      <c r="G14" s="25">
        <f t="shared" si="1"/>
        <v>8077</v>
      </c>
      <c r="H14" s="25">
        <f t="shared" si="4"/>
        <v>40845</v>
      </c>
      <c r="I14" s="25">
        <f t="shared" si="2"/>
        <v>-2767.3333333333285</v>
      </c>
      <c r="J14" s="25">
        <f>AVERAGE(G12:G14)</f>
        <v>7435.666666666667</v>
      </c>
      <c r="K14" s="30">
        <v>56</v>
      </c>
      <c r="L14" s="30">
        <v>64</v>
      </c>
      <c r="M14" s="29">
        <v>10</v>
      </c>
    </row>
    <row r="15" spans="1:13" ht="15" hidden="1">
      <c r="A15" s="7">
        <v>39479</v>
      </c>
      <c r="B15" s="25">
        <f t="shared" si="0"/>
        <v>5439.666666666667</v>
      </c>
      <c r="C15" s="25">
        <f t="shared" si="3"/>
        <v>43517.333333333336</v>
      </c>
      <c r="D15" s="25">
        <v>90</v>
      </c>
      <c r="E15" s="25">
        <v>11396</v>
      </c>
      <c r="F15" s="25"/>
      <c r="G15" s="25">
        <f t="shared" si="1"/>
        <v>11486</v>
      </c>
      <c r="H15" s="25">
        <f t="shared" si="4"/>
        <v>52331</v>
      </c>
      <c r="I15" s="25">
        <f t="shared" si="2"/>
        <v>-8813.666666666664</v>
      </c>
      <c r="J15" s="25">
        <f>AVERAGE(G12:G15)</f>
        <v>8448.25</v>
      </c>
      <c r="K15" s="30">
        <v>51</v>
      </c>
      <c r="L15" s="30">
        <v>52</v>
      </c>
      <c r="M15" s="29">
        <v>10</v>
      </c>
    </row>
    <row r="16" spans="1:13" ht="15" hidden="1">
      <c r="A16" s="7">
        <v>39508</v>
      </c>
      <c r="B16" s="25">
        <f t="shared" si="0"/>
        <v>5439.666666666667</v>
      </c>
      <c r="C16" s="25">
        <f t="shared" si="3"/>
        <v>48957</v>
      </c>
      <c r="D16" s="25">
        <v>44</v>
      </c>
      <c r="E16" s="25">
        <v>8726</v>
      </c>
      <c r="F16" s="25"/>
      <c r="G16" s="25">
        <f t="shared" si="1"/>
        <v>8770</v>
      </c>
      <c r="H16" s="25">
        <f t="shared" si="4"/>
        <v>61101</v>
      </c>
      <c r="I16" s="25">
        <f t="shared" si="2"/>
        <v>-12144</v>
      </c>
      <c r="J16" s="25">
        <f>AVERAGE(G12:G16)</f>
        <v>8512.6</v>
      </c>
      <c r="K16" s="30">
        <v>57</v>
      </c>
      <c r="L16" s="30">
        <v>47</v>
      </c>
      <c r="M16" s="29">
        <v>10</v>
      </c>
    </row>
    <row r="17" spans="1:13" ht="15" hidden="1">
      <c r="A17" s="7">
        <v>39539</v>
      </c>
      <c r="B17" s="25">
        <f t="shared" si="0"/>
        <v>5439.666666666667</v>
      </c>
      <c r="C17" s="25">
        <f t="shared" si="3"/>
        <v>54396.666666666664</v>
      </c>
      <c r="D17" s="25">
        <v>250</v>
      </c>
      <c r="E17" s="25">
        <v>7447</v>
      </c>
      <c r="F17" s="25"/>
      <c r="G17" s="25">
        <f t="shared" si="1"/>
        <v>7697</v>
      </c>
      <c r="H17" s="25">
        <f t="shared" si="4"/>
        <v>68798</v>
      </c>
      <c r="I17" s="25">
        <f t="shared" si="2"/>
        <v>-14401.333333333336</v>
      </c>
      <c r="J17" s="25">
        <f>AVERAGE(G14:G17)</f>
        <v>9007.5</v>
      </c>
      <c r="K17" s="30">
        <v>58</v>
      </c>
      <c r="L17" s="30">
        <v>67</v>
      </c>
      <c r="M17" s="29">
        <v>14</v>
      </c>
    </row>
    <row r="18" spans="1:13" ht="15" hidden="1">
      <c r="A18" s="7">
        <v>39569</v>
      </c>
      <c r="B18" s="33">
        <f t="shared" si="0"/>
        <v>5439.666666666667</v>
      </c>
      <c r="C18" s="33">
        <f t="shared" si="3"/>
        <v>59836.33333333333</v>
      </c>
      <c r="D18" s="33">
        <v>211</v>
      </c>
      <c r="E18" s="33">
        <v>6238</v>
      </c>
      <c r="F18" s="33"/>
      <c r="G18" s="25">
        <f t="shared" si="1"/>
        <v>6449</v>
      </c>
      <c r="H18" s="25">
        <f t="shared" si="4"/>
        <v>75247</v>
      </c>
      <c r="I18" s="25">
        <f t="shared" si="2"/>
        <v>-15410.666666666672</v>
      </c>
      <c r="J18" s="25">
        <f>AVERAGE(G14:G18)</f>
        <v>8495.8</v>
      </c>
      <c r="K18" s="30">
        <v>63</v>
      </c>
      <c r="L18" s="30">
        <v>73</v>
      </c>
      <c r="M18" s="29">
        <v>16</v>
      </c>
    </row>
    <row r="19" spans="1:13" ht="15.75" hidden="1" thickBot="1">
      <c r="A19" s="7">
        <v>39600</v>
      </c>
      <c r="B19" s="34">
        <f t="shared" si="0"/>
        <v>5439.666666666667</v>
      </c>
      <c r="C19" s="34">
        <f t="shared" si="3"/>
        <v>65275.99999999999</v>
      </c>
      <c r="D19" s="34">
        <v>137</v>
      </c>
      <c r="E19" s="34">
        <v>5263</v>
      </c>
      <c r="F19" s="34"/>
      <c r="G19" s="34">
        <f t="shared" si="1"/>
        <v>5400</v>
      </c>
      <c r="H19" s="34">
        <f t="shared" si="4"/>
        <v>80647</v>
      </c>
      <c r="I19" s="34">
        <f t="shared" si="2"/>
        <v>-15371.000000000007</v>
      </c>
      <c r="J19" s="34">
        <f>AVERAGE(G15:G19)</f>
        <v>7960.4</v>
      </c>
      <c r="K19" s="35">
        <v>65</v>
      </c>
      <c r="L19" s="35">
        <v>63</v>
      </c>
      <c r="M19" s="36">
        <v>20</v>
      </c>
    </row>
    <row r="20" spans="1:13" ht="15" hidden="1">
      <c r="A20" s="7">
        <v>39630</v>
      </c>
      <c r="B20" s="37">
        <v>7911</v>
      </c>
      <c r="C20" s="33">
        <f>B20</f>
        <v>7911</v>
      </c>
      <c r="D20" s="33">
        <v>90</v>
      </c>
      <c r="E20" s="33">
        <v>6367</v>
      </c>
      <c r="F20" s="33"/>
      <c r="G20" s="33">
        <f t="shared" si="1"/>
        <v>6457</v>
      </c>
      <c r="H20" s="33">
        <f>G20</f>
        <v>6457</v>
      </c>
      <c r="I20" s="33">
        <f t="shared" si="2"/>
        <v>1454</v>
      </c>
      <c r="J20" s="33">
        <f>H20</f>
        <v>6457</v>
      </c>
      <c r="K20" s="30">
        <v>69</v>
      </c>
      <c r="L20" s="30">
        <v>59</v>
      </c>
      <c r="M20" s="29">
        <v>20</v>
      </c>
    </row>
    <row r="21" spans="1:13" ht="15" hidden="1">
      <c r="A21" s="7">
        <v>39661</v>
      </c>
      <c r="B21" s="37">
        <v>7911</v>
      </c>
      <c r="C21" s="33">
        <f aca="true" t="shared" si="5" ref="C21:C31">C20+B21</f>
        <v>15822</v>
      </c>
      <c r="D21" s="33">
        <v>0</v>
      </c>
      <c r="E21" s="33">
        <v>6133</v>
      </c>
      <c r="F21" s="33"/>
      <c r="G21" s="33">
        <f t="shared" si="1"/>
        <v>6133</v>
      </c>
      <c r="H21" s="33">
        <f aca="true" t="shared" si="6" ref="H21:H31">H20+G21</f>
        <v>12590</v>
      </c>
      <c r="I21" s="33">
        <f t="shared" si="2"/>
        <v>3232</v>
      </c>
      <c r="J21" s="33">
        <f>H21/2</f>
        <v>6295</v>
      </c>
      <c r="K21" s="30">
        <v>62</v>
      </c>
      <c r="L21" s="30">
        <v>62</v>
      </c>
      <c r="M21" s="29">
        <v>21</v>
      </c>
    </row>
    <row r="22" spans="1:13" ht="15" hidden="1">
      <c r="A22" s="7">
        <v>39692</v>
      </c>
      <c r="B22" s="37">
        <v>7911</v>
      </c>
      <c r="C22" s="33">
        <f t="shared" si="5"/>
        <v>23733</v>
      </c>
      <c r="D22" s="33">
        <v>1193</v>
      </c>
      <c r="E22" s="33">
        <v>6613</v>
      </c>
      <c r="F22" s="33"/>
      <c r="G22" s="33">
        <f t="shared" si="1"/>
        <v>7806</v>
      </c>
      <c r="H22" s="33">
        <f t="shared" si="6"/>
        <v>20396</v>
      </c>
      <c r="I22" s="33">
        <f t="shared" si="2"/>
        <v>3337</v>
      </c>
      <c r="J22" s="33">
        <f>H22/3</f>
        <v>6798.666666666667</v>
      </c>
      <c r="K22" s="30">
        <v>70</v>
      </c>
      <c r="L22" s="30">
        <v>65</v>
      </c>
      <c r="M22" s="29">
        <v>22</v>
      </c>
    </row>
    <row r="23" spans="1:13" ht="15" hidden="1">
      <c r="A23" s="7">
        <v>39722</v>
      </c>
      <c r="B23" s="37">
        <v>7911</v>
      </c>
      <c r="C23" s="33">
        <f t="shared" si="5"/>
        <v>31644</v>
      </c>
      <c r="D23" s="33">
        <v>526</v>
      </c>
      <c r="E23" s="33">
        <v>9357</v>
      </c>
      <c r="F23" s="33"/>
      <c r="G23" s="33">
        <f t="shared" si="1"/>
        <v>9883</v>
      </c>
      <c r="H23" s="33">
        <f t="shared" si="6"/>
        <v>30279</v>
      </c>
      <c r="I23" s="33">
        <f t="shared" si="2"/>
        <v>1365</v>
      </c>
      <c r="J23" s="33">
        <f>H23/4</f>
        <v>7569.75</v>
      </c>
      <c r="K23" s="30">
        <v>66</v>
      </c>
      <c r="L23" s="30">
        <v>69</v>
      </c>
      <c r="M23" s="29">
        <v>20</v>
      </c>
    </row>
    <row r="24" spans="1:13" ht="15" hidden="1">
      <c r="A24" s="7">
        <v>39753</v>
      </c>
      <c r="B24" s="37">
        <v>7911</v>
      </c>
      <c r="C24" s="33">
        <f t="shared" si="5"/>
        <v>39555</v>
      </c>
      <c r="D24" s="33">
        <v>805</v>
      </c>
      <c r="E24" s="33">
        <v>6414</v>
      </c>
      <c r="F24" s="33"/>
      <c r="G24" s="33">
        <f t="shared" si="1"/>
        <v>7219</v>
      </c>
      <c r="H24" s="33">
        <f t="shared" si="6"/>
        <v>37498</v>
      </c>
      <c r="I24" s="33">
        <f t="shared" si="2"/>
        <v>2057</v>
      </c>
      <c r="J24" s="33">
        <f>H24/5</f>
        <v>7499.6</v>
      </c>
      <c r="K24" s="30">
        <v>70</v>
      </c>
      <c r="L24" s="30">
        <v>58</v>
      </c>
      <c r="M24" s="29">
        <v>22</v>
      </c>
    </row>
    <row r="25" spans="1:13" ht="15" hidden="1">
      <c r="A25" s="7">
        <v>39783</v>
      </c>
      <c r="B25" s="38">
        <v>6487.428571428572</v>
      </c>
      <c r="C25" s="33">
        <f t="shared" si="5"/>
        <v>46042.42857142857</v>
      </c>
      <c r="D25" s="33">
        <v>0</v>
      </c>
      <c r="E25" s="33">
        <v>6889</v>
      </c>
      <c r="F25" s="33"/>
      <c r="G25" s="33">
        <f t="shared" si="1"/>
        <v>6889</v>
      </c>
      <c r="H25" s="33">
        <f t="shared" si="6"/>
        <v>44387</v>
      </c>
      <c r="I25" s="33">
        <f t="shared" si="2"/>
        <v>1655.4285714285725</v>
      </c>
      <c r="J25" s="33">
        <f>H25/6</f>
        <v>7397.833333333333</v>
      </c>
      <c r="K25" s="30">
        <v>74</v>
      </c>
      <c r="L25" s="30">
        <v>63</v>
      </c>
      <c r="M25" s="29">
        <v>21</v>
      </c>
    </row>
    <row r="26" spans="1:13" ht="15" hidden="1">
      <c r="A26" s="7">
        <v>39814</v>
      </c>
      <c r="B26" s="38">
        <v>6487.428571428572</v>
      </c>
      <c r="C26" s="33">
        <f t="shared" si="5"/>
        <v>52529.857142857145</v>
      </c>
      <c r="D26" s="33">
        <v>223</v>
      </c>
      <c r="E26" s="33">
        <v>3754</v>
      </c>
      <c r="F26" s="33"/>
      <c r="G26" s="33">
        <f t="shared" si="1"/>
        <v>3977</v>
      </c>
      <c r="H26" s="33">
        <f t="shared" si="6"/>
        <v>48364</v>
      </c>
      <c r="I26" s="33">
        <f t="shared" si="2"/>
        <v>4165.857142857145</v>
      </c>
      <c r="J26" s="33">
        <f>H26/7</f>
        <v>6909.142857142857</v>
      </c>
      <c r="K26" s="30">
        <v>68</v>
      </c>
      <c r="L26" s="30">
        <v>55</v>
      </c>
      <c r="M26" s="29">
        <v>16</v>
      </c>
    </row>
    <row r="27" spans="1:13" ht="15" hidden="1">
      <c r="A27" s="7">
        <v>39845</v>
      </c>
      <c r="B27" s="38">
        <v>6487.428571428572</v>
      </c>
      <c r="C27" s="33">
        <f t="shared" si="5"/>
        <v>59017.28571428572</v>
      </c>
      <c r="D27" s="33">
        <v>210</v>
      </c>
      <c r="E27" s="33">
        <v>2391</v>
      </c>
      <c r="F27" s="33"/>
      <c r="G27" s="33">
        <f t="shared" si="1"/>
        <v>2601</v>
      </c>
      <c r="H27" s="33">
        <f t="shared" si="6"/>
        <v>50965</v>
      </c>
      <c r="I27" s="33">
        <f t="shared" si="2"/>
        <v>8052.285714285717</v>
      </c>
      <c r="J27" s="33">
        <f>H27/8</f>
        <v>6370.625</v>
      </c>
      <c r="K27" s="30">
        <v>73</v>
      </c>
      <c r="L27" s="30">
        <v>67</v>
      </c>
      <c r="M27" s="29">
        <v>15</v>
      </c>
    </row>
    <row r="28" spans="1:13" ht="15" hidden="1">
      <c r="A28" s="7">
        <v>39873</v>
      </c>
      <c r="B28" s="38">
        <v>6487.428571428572</v>
      </c>
      <c r="C28" s="33">
        <f t="shared" si="5"/>
        <v>65504.71428571429</v>
      </c>
      <c r="D28" s="33">
        <v>143</v>
      </c>
      <c r="E28" s="33">
        <v>3384</v>
      </c>
      <c r="F28" s="33"/>
      <c r="G28" s="33">
        <f t="shared" si="1"/>
        <v>3527</v>
      </c>
      <c r="H28" s="33">
        <f t="shared" si="6"/>
        <v>54492</v>
      </c>
      <c r="I28" s="33">
        <f t="shared" si="2"/>
        <v>11012.71428571429</v>
      </c>
      <c r="J28" s="33">
        <f>H28/9</f>
        <v>6054.666666666667</v>
      </c>
      <c r="K28" s="30">
        <v>74</v>
      </c>
      <c r="L28" s="30">
        <v>68</v>
      </c>
      <c r="M28" s="4">
        <v>12</v>
      </c>
    </row>
    <row r="29" spans="1:13" ht="15" hidden="1">
      <c r="A29" s="7">
        <v>39904</v>
      </c>
      <c r="B29" s="38">
        <v>6487.428571428572</v>
      </c>
      <c r="C29" s="33">
        <f t="shared" si="5"/>
        <v>71992.14285714286</v>
      </c>
      <c r="D29" s="33">
        <v>767</v>
      </c>
      <c r="E29" s="33">
        <v>1565</v>
      </c>
      <c r="F29" s="33"/>
      <c r="G29" s="33">
        <f t="shared" si="1"/>
        <v>2332</v>
      </c>
      <c r="H29" s="33">
        <f t="shared" si="6"/>
        <v>56824</v>
      </c>
      <c r="I29" s="33">
        <f t="shared" si="2"/>
        <v>15168.142857142855</v>
      </c>
      <c r="J29" s="33">
        <f>H29/10</f>
        <v>5682.4</v>
      </c>
      <c r="K29" s="30">
        <v>68</v>
      </c>
      <c r="L29" s="30">
        <v>83</v>
      </c>
      <c r="M29" s="4">
        <v>12</v>
      </c>
    </row>
    <row r="30" spans="1:13" ht="15" hidden="1">
      <c r="A30" s="7">
        <v>39934</v>
      </c>
      <c r="B30" s="38">
        <v>6487.428571428572</v>
      </c>
      <c r="C30" s="33">
        <f t="shared" si="5"/>
        <v>78479.57142857142</v>
      </c>
      <c r="D30" s="33">
        <v>1250</v>
      </c>
      <c r="E30" s="33">
        <v>2436</v>
      </c>
      <c r="F30" s="33"/>
      <c r="G30" s="33">
        <f t="shared" si="1"/>
        <v>3686</v>
      </c>
      <c r="H30" s="33">
        <f t="shared" si="6"/>
        <v>60510</v>
      </c>
      <c r="I30" s="33">
        <f t="shared" si="2"/>
        <v>17969.57142857142</v>
      </c>
      <c r="J30" s="33">
        <f>H30/11</f>
        <v>5500.909090909091</v>
      </c>
      <c r="K30" s="30">
        <v>68</v>
      </c>
      <c r="L30" s="30">
        <v>74</v>
      </c>
      <c r="M30" s="4">
        <v>11</v>
      </c>
    </row>
    <row r="31" spans="1:13" ht="15.75" hidden="1" thickBot="1">
      <c r="A31" s="7">
        <v>39965</v>
      </c>
      <c r="B31" s="39">
        <v>6487.428571428572</v>
      </c>
      <c r="C31" s="34">
        <f t="shared" si="5"/>
        <v>84966.99999999999</v>
      </c>
      <c r="D31" s="34">
        <v>165</v>
      </c>
      <c r="E31" s="34">
        <v>3982</v>
      </c>
      <c r="F31" s="34"/>
      <c r="G31" s="34">
        <f t="shared" si="1"/>
        <v>4147</v>
      </c>
      <c r="H31" s="46">
        <f t="shared" si="6"/>
        <v>64657</v>
      </c>
      <c r="I31" s="46">
        <f t="shared" si="2"/>
        <v>20309.999999999985</v>
      </c>
      <c r="J31" s="46">
        <f>H31/12</f>
        <v>5388.083333333333</v>
      </c>
      <c r="K31" s="40">
        <v>69</v>
      </c>
      <c r="L31" s="40">
        <v>68</v>
      </c>
      <c r="M31" s="41">
        <v>11</v>
      </c>
    </row>
    <row r="32" spans="1:13" ht="18" hidden="1">
      <c r="A32" s="7">
        <v>40725</v>
      </c>
      <c r="B32" s="37">
        <f aca="true" t="shared" si="7" ref="B32:B43">$B$85/12</f>
        <v>1979.5833333333333</v>
      </c>
      <c r="C32" s="33">
        <f>B32</f>
        <v>1979.5833333333333</v>
      </c>
      <c r="D32" s="33">
        <v>0</v>
      </c>
      <c r="E32" s="33">
        <v>688</v>
      </c>
      <c r="F32" s="33">
        <v>0</v>
      </c>
      <c r="G32" s="33">
        <f aca="true" t="shared" si="8" ref="G32:G74">D32+E32+F32</f>
        <v>688</v>
      </c>
      <c r="H32" s="33">
        <f>G32</f>
        <v>688</v>
      </c>
      <c r="I32" s="33">
        <f t="shared" si="2"/>
        <v>1291.5833333333333</v>
      </c>
      <c r="J32" s="11">
        <f>H32</f>
        <v>688</v>
      </c>
      <c r="K32" s="42">
        <v>125</v>
      </c>
      <c r="L32" s="42">
        <v>17</v>
      </c>
      <c r="M32" s="43">
        <v>6</v>
      </c>
    </row>
    <row r="33" spans="1:13" ht="18" hidden="1">
      <c r="A33" s="7">
        <v>40756</v>
      </c>
      <c r="B33" s="37">
        <f t="shared" si="7"/>
        <v>1979.5833333333333</v>
      </c>
      <c r="C33" s="33">
        <f aca="true" t="shared" si="9" ref="C33:C43">C32+B33</f>
        <v>3959.1666666666665</v>
      </c>
      <c r="D33" s="33">
        <v>30</v>
      </c>
      <c r="E33" s="33">
        <v>85</v>
      </c>
      <c r="F33" s="33">
        <v>0</v>
      </c>
      <c r="G33" s="33">
        <f t="shared" si="8"/>
        <v>115</v>
      </c>
      <c r="H33" s="33">
        <f aca="true" t="shared" si="10" ref="H33:H43">H32+G33</f>
        <v>803</v>
      </c>
      <c r="I33" s="33">
        <f t="shared" si="2"/>
        <v>3156.1666666666665</v>
      </c>
      <c r="J33" s="11">
        <f>H33/2</f>
        <v>401.5</v>
      </c>
      <c r="K33" s="42">
        <v>90</v>
      </c>
      <c r="L33" s="42">
        <v>22</v>
      </c>
      <c r="M33" s="43">
        <v>5</v>
      </c>
    </row>
    <row r="34" spans="1:13" ht="18" hidden="1">
      <c r="A34" s="7">
        <v>40787</v>
      </c>
      <c r="B34" s="37">
        <f t="shared" si="7"/>
        <v>1979.5833333333333</v>
      </c>
      <c r="C34" s="33">
        <f t="shared" si="9"/>
        <v>5938.75</v>
      </c>
      <c r="D34" s="33">
        <v>0</v>
      </c>
      <c r="E34" s="33">
        <v>659</v>
      </c>
      <c r="F34" s="33">
        <v>0</v>
      </c>
      <c r="G34" s="33">
        <f t="shared" si="8"/>
        <v>659</v>
      </c>
      <c r="H34" s="33">
        <f t="shared" si="10"/>
        <v>1462</v>
      </c>
      <c r="I34" s="33">
        <f t="shared" si="2"/>
        <v>4476.75</v>
      </c>
      <c r="J34" s="11">
        <f>H34/3</f>
        <v>487.3333333333333</v>
      </c>
      <c r="K34" s="42">
        <v>99</v>
      </c>
      <c r="L34" s="42">
        <v>31</v>
      </c>
      <c r="M34" s="43">
        <v>3</v>
      </c>
    </row>
    <row r="35" spans="1:13" ht="18" hidden="1">
      <c r="A35" s="7">
        <v>40817</v>
      </c>
      <c r="B35" s="37">
        <f t="shared" si="7"/>
        <v>1979.5833333333333</v>
      </c>
      <c r="C35" s="33">
        <f t="shared" si="9"/>
        <v>7918.333333333333</v>
      </c>
      <c r="D35" s="33">
        <v>0</v>
      </c>
      <c r="E35" s="33">
        <v>170</v>
      </c>
      <c r="F35" s="33">
        <v>0</v>
      </c>
      <c r="G35" s="33">
        <f t="shared" si="8"/>
        <v>170</v>
      </c>
      <c r="H35" s="33">
        <f t="shared" si="10"/>
        <v>1632</v>
      </c>
      <c r="I35" s="33">
        <f t="shared" si="2"/>
        <v>6286.333333333333</v>
      </c>
      <c r="J35" s="11">
        <f>H35/4</f>
        <v>408</v>
      </c>
      <c r="K35" s="42">
        <v>185</v>
      </c>
      <c r="L35" s="42">
        <v>39</v>
      </c>
      <c r="M35" s="43">
        <v>5</v>
      </c>
    </row>
    <row r="36" spans="1:13" ht="18" hidden="1">
      <c r="A36" s="7">
        <v>40848</v>
      </c>
      <c r="B36" s="37">
        <f t="shared" si="7"/>
        <v>1979.5833333333333</v>
      </c>
      <c r="C36" s="33">
        <f t="shared" si="9"/>
        <v>9897.916666666666</v>
      </c>
      <c r="D36" s="33">
        <v>0</v>
      </c>
      <c r="E36" s="33">
        <v>306</v>
      </c>
      <c r="F36" s="33">
        <v>0</v>
      </c>
      <c r="G36" s="33">
        <f t="shared" si="8"/>
        <v>306</v>
      </c>
      <c r="H36" s="33">
        <f t="shared" si="10"/>
        <v>1938</v>
      </c>
      <c r="I36" s="33">
        <f t="shared" si="2"/>
        <v>7959.916666666666</v>
      </c>
      <c r="J36" s="11">
        <f>H36/5</f>
        <v>387.6</v>
      </c>
      <c r="K36" s="42">
        <v>189</v>
      </c>
      <c r="L36" s="42">
        <v>33</v>
      </c>
      <c r="M36" s="43">
        <v>4</v>
      </c>
    </row>
    <row r="37" spans="1:13" ht="18" hidden="1">
      <c r="A37" s="7">
        <v>40878</v>
      </c>
      <c r="B37" s="37">
        <f t="shared" si="7"/>
        <v>1979.5833333333333</v>
      </c>
      <c r="C37" s="33">
        <f t="shared" si="9"/>
        <v>11877.5</v>
      </c>
      <c r="D37" s="33">
        <v>0</v>
      </c>
      <c r="E37" s="33">
        <v>707</v>
      </c>
      <c r="F37" s="33">
        <v>0</v>
      </c>
      <c r="G37" s="33">
        <f t="shared" si="8"/>
        <v>707</v>
      </c>
      <c r="H37" s="33">
        <f t="shared" si="10"/>
        <v>2645</v>
      </c>
      <c r="I37" s="33">
        <f t="shared" si="2"/>
        <v>9232.5</v>
      </c>
      <c r="J37" s="11">
        <f>H37/6</f>
        <v>440.8333333333333</v>
      </c>
      <c r="K37" s="42">
        <v>199</v>
      </c>
      <c r="L37" s="42">
        <v>30</v>
      </c>
      <c r="M37" s="43">
        <v>5</v>
      </c>
    </row>
    <row r="38" spans="1:13" ht="18" hidden="1">
      <c r="A38" s="7">
        <v>40909</v>
      </c>
      <c r="B38" s="37">
        <f t="shared" si="7"/>
        <v>1979.5833333333333</v>
      </c>
      <c r="C38" s="33">
        <f t="shared" si="9"/>
        <v>13857.083333333334</v>
      </c>
      <c r="D38" s="33">
        <v>0</v>
      </c>
      <c r="E38" s="33">
        <v>0</v>
      </c>
      <c r="F38" s="33">
        <v>0</v>
      </c>
      <c r="G38" s="33">
        <f t="shared" si="8"/>
        <v>0</v>
      </c>
      <c r="H38" s="33">
        <f t="shared" si="10"/>
        <v>2645</v>
      </c>
      <c r="I38" s="33">
        <f t="shared" si="2"/>
        <v>11212.083333333334</v>
      </c>
      <c r="J38" s="11">
        <f>H38/7</f>
        <v>377.85714285714283</v>
      </c>
      <c r="K38" s="42">
        <v>153</v>
      </c>
      <c r="L38" s="42">
        <v>36</v>
      </c>
      <c r="M38" s="43">
        <v>6</v>
      </c>
    </row>
    <row r="39" spans="1:13" ht="18" hidden="1">
      <c r="A39" s="7">
        <v>40940</v>
      </c>
      <c r="B39" s="37">
        <f t="shared" si="7"/>
        <v>1979.5833333333333</v>
      </c>
      <c r="C39" s="33">
        <f t="shared" si="9"/>
        <v>15836.666666666668</v>
      </c>
      <c r="D39" s="33">
        <v>0</v>
      </c>
      <c r="E39" s="33">
        <v>119</v>
      </c>
      <c r="F39" s="33">
        <v>0</v>
      </c>
      <c r="G39" s="33">
        <f t="shared" si="8"/>
        <v>119</v>
      </c>
      <c r="H39" s="33">
        <f t="shared" si="10"/>
        <v>2764</v>
      </c>
      <c r="I39" s="33">
        <f t="shared" si="2"/>
        <v>13072.666666666668</v>
      </c>
      <c r="J39" s="11">
        <f>H39/8</f>
        <v>345.5</v>
      </c>
      <c r="K39" s="42">
        <v>155</v>
      </c>
      <c r="L39" s="42">
        <v>38</v>
      </c>
      <c r="M39" s="43">
        <v>4</v>
      </c>
    </row>
    <row r="40" spans="1:13" ht="18" hidden="1">
      <c r="A40" s="7">
        <v>40969</v>
      </c>
      <c r="B40" s="37">
        <f t="shared" si="7"/>
        <v>1979.5833333333333</v>
      </c>
      <c r="C40" s="33">
        <f t="shared" si="9"/>
        <v>17816.25</v>
      </c>
      <c r="D40" s="33">
        <v>0</v>
      </c>
      <c r="E40" s="33">
        <v>0</v>
      </c>
      <c r="F40" s="33">
        <v>0</v>
      </c>
      <c r="G40" s="33">
        <f t="shared" si="8"/>
        <v>0</v>
      </c>
      <c r="H40" s="33">
        <f t="shared" si="10"/>
        <v>2764</v>
      </c>
      <c r="I40" s="33">
        <f aca="true" t="shared" si="11" ref="I40:I59">C40-H40</f>
        <v>15052.25</v>
      </c>
      <c r="J40" s="11">
        <f>H40/9</f>
        <v>307.1111111111111</v>
      </c>
      <c r="K40" s="42">
        <v>140</v>
      </c>
      <c r="L40" s="42">
        <v>36</v>
      </c>
      <c r="M40" s="43">
        <v>5</v>
      </c>
    </row>
    <row r="41" spans="1:13" ht="18" hidden="1">
      <c r="A41" s="7">
        <v>41000</v>
      </c>
      <c r="B41" s="37">
        <f t="shared" si="7"/>
        <v>1979.5833333333333</v>
      </c>
      <c r="C41" s="33">
        <f t="shared" si="9"/>
        <v>19795.833333333332</v>
      </c>
      <c r="D41" s="33">
        <v>0</v>
      </c>
      <c r="E41" s="33">
        <v>149</v>
      </c>
      <c r="F41" s="33">
        <v>0</v>
      </c>
      <c r="G41" s="33">
        <f t="shared" si="8"/>
        <v>149</v>
      </c>
      <c r="H41" s="33">
        <f t="shared" si="10"/>
        <v>2913</v>
      </c>
      <c r="I41" s="33">
        <f t="shared" si="11"/>
        <v>16882.833333333332</v>
      </c>
      <c r="J41" s="11">
        <f>H41/10</f>
        <v>291.3</v>
      </c>
      <c r="K41" s="42">
        <v>159</v>
      </c>
      <c r="L41" s="42">
        <v>37</v>
      </c>
      <c r="M41" s="43">
        <v>4</v>
      </c>
    </row>
    <row r="42" spans="1:13" ht="18" hidden="1">
      <c r="A42" s="7">
        <v>41030</v>
      </c>
      <c r="B42" s="37">
        <f t="shared" si="7"/>
        <v>1979.5833333333333</v>
      </c>
      <c r="C42" s="33">
        <f t="shared" si="9"/>
        <v>21775.416666666664</v>
      </c>
      <c r="D42" s="33">
        <v>0</v>
      </c>
      <c r="E42" s="33">
        <v>188</v>
      </c>
      <c r="F42" s="33">
        <v>0</v>
      </c>
      <c r="G42" s="33">
        <f t="shared" si="8"/>
        <v>188</v>
      </c>
      <c r="H42" s="33">
        <f t="shared" si="10"/>
        <v>3101</v>
      </c>
      <c r="I42" s="33">
        <f t="shared" si="11"/>
        <v>18674.416666666664</v>
      </c>
      <c r="J42" s="11">
        <f>H42/11</f>
        <v>281.90909090909093</v>
      </c>
      <c r="K42" s="42">
        <v>147</v>
      </c>
      <c r="L42" s="42">
        <v>30</v>
      </c>
      <c r="M42" s="43">
        <v>0</v>
      </c>
    </row>
    <row r="43" spans="1:13" ht="18.75" hidden="1" thickBot="1">
      <c r="A43" s="7">
        <v>41061</v>
      </c>
      <c r="B43" s="39">
        <f t="shared" si="7"/>
        <v>1979.5833333333333</v>
      </c>
      <c r="C43" s="34">
        <f t="shared" si="9"/>
        <v>23754.999999999996</v>
      </c>
      <c r="D43" s="34">
        <v>0</v>
      </c>
      <c r="E43" s="34">
        <v>50</v>
      </c>
      <c r="F43" s="34">
        <v>0</v>
      </c>
      <c r="G43" s="34">
        <f t="shared" si="8"/>
        <v>50</v>
      </c>
      <c r="H43" s="34">
        <f t="shared" si="10"/>
        <v>3151</v>
      </c>
      <c r="I43" s="34">
        <f t="shared" si="11"/>
        <v>20603.999999999996</v>
      </c>
      <c r="J43" s="12">
        <f>H43/12</f>
        <v>262.5833333333333</v>
      </c>
      <c r="K43" s="40">
        <v>155</v>
      </c>
      <c r="L43" s="40">
        <v>24</v>
      </c>
      <c r="M43" s="41">
        <v>0</v>
      </c>
    </row>
    <row r="44" spans="1:13" ht="15" hidden="1">
      <c r="A44" s="7">
        <v>41091</v>
      </c>
      <c r="B44" s="37">
        <f aca="true" t="shared" si="12" ref="B44:B55">$B$86/12</f>
        <v>4500</v>
      </c>
      <c r="C44" s="33">
        <f>B44</f>
        <v>4500</v>
      </c>
      <c r="D44" s="33">
        <v>0</v>
      </c>
      <c r="E44" s="33">
        <v>29</v>
      </c>
      <c r="F44" s="33">
        <v>0</v>
      </c>
      <c r="G44" s="33">
        <f t="shared" si="8"/>
        <v>29</v>
      </c>
      <c r="H44" s="33">
        <f>G44</f>
        <v>29</v>
      </c>
      <c r="I44" s="33">
        <f t="shared" si="11"/>
        <v>4471</v>
      </c>
      <c r="J44" s="33">
        <f>H44/1</f>
        <v>29</v>
      </c>
      <c r="K44" s="42">
        <v>157</v>
      </c>
      <c r="L44" s="42">
        <v>22</v>
      </c>
      <c r="M44" s="43"/>
    </row>
    <row r="45" spans="1:13" ht="15" hidden="1">
      <c r="A45" s="7">
        <v>41122</v>
      </c>
      <c r="B45" s="37">
        <f t="shared" si="12"/>
        <v>4500</v>
      </c>
      <c r="C45" s="33">
        <f aca="true" t="shared" si="13" ref="C45:C55">C44+B45</f>
        <v>9000</v>
      </c>
      <c r="D45" s="33">
        <v>0</v>
      </c>
      <c r="E45" s="33">
        <v>49</v>
      </c>
      <c r="F45" s="33">
        <v>0</v>
      </c>
      <c r="G45" s="33">
        <f t="shared" si="8"/>
        <v>49</v>
      </c>
      <c r="H45" s="33">
        <f aca="true" t="shared" si="14" ref="H45:H55">H44+G45</f>
        <v>78</v>
      </c>
      <c r="I45" s="33">
        <f t="shared" si="11"/>
        <v>8922</v>
      </c>
      <c r="J45" s="33">
        <f>H45/2</f>
        <v>39</v>
      </c>
      <c r="K45" s="42">
        <v>160</v>
      </c>
      <c r="L45" s="42">
        <v>19</v>
      </c>
      <c r="M45" s="43"/>
    </row>
    <row r="46" spans="1:13" ht="15" hidden="1">
      <c r="A46" s="7">
        <v>41153</v>
      </c>
      <c r="B46" s="37">
        <f t="shared" si="12"/>
        <v>4500</v>
      </c>
      <c r="C46" s="33">
        <f t="shared" si="13"/>
        <v>13500</v>
      </c>
      <c r="D46" s="33">
        <v>0</v>
      </c>
      <c r="E46" s="33">
        <v>-29</v>
      </c>
      <c r="F46" s="33">
        <v>0</v>
      </c>
      <c r="G46" s="33">
        <f t="shared" si="8"/>
        <v>-29</v>
      </c>
      <c r="H46" s="33">
        <f t="shared" si="14"/>
        <v>49</v>
      </c>
      <c r="I46" s="33">
        <f t="shared" si="11"/>
        <v>13451</v>
      </c>
      <c r="J46" s="33">
        <f>H46/3</f>
        <v>16.333333333333332</v>
      </c>
      <c r="K46" s="42">
        <v>163</v>
      </c>
      <c r="L46" s="42">
        <v>25</v>
      </c>
      <c r="M46" s="43"/>
    </row>
    <row r="47" spans="1:13" ht="15" hidden="1">
      <c r="A47" s="7">
        <v>41183</v>
      </c>
      <c r="B47" s="37">
        <f t="shared" si="12"/>
        <v>4500</v>
      </c>
      <c r="C47" s="33">
        <f t="shared" si="13"/>
        <v>18000</v>
      </c>
      <c r="D47" s="33">
        <v>0</v>
      </c>
      <c r="E47" s="33">
        <v>0</v>
      </c>
      <c r="F47" s="33">
        <v>0</v>
      </c>
      <c r="G47" s="33">
        <f t="shared" si="8"/>
        <v>0</v>
      </c>
      <c r="H47" s="33">
        <f t="shared" si="14"/>
        <v>49</v>
      </c>
      <c r="I47" s="33">
        <f t="shared" si="11"/>
        <v>17951</v>
      </c>
      <c r="J47" s="33">
        <f>H47/4</f>
        <v>12.25</v>
      </c>
      <c r="K47" s="42">
        <v>153</v>
      </c>
      <c r="L47" s="42">
        <v>36</v>
      </c>
      <c r="M47" s="43"/>
    </row>
    <row r="48" spans="1:13" ht="15" hidden="1">
      <c r="A48" s="7">
        <v>41214</v>
      </c>
      <c r="B48" s="37">
        <f t="shared" si="12"/>
        <v>4500</v>
      </c>
      <c r="C48" s="33">
        <f t="shared" si="13"/>
        <v>22500</v>
      </c>
      <c r="D48" s="33">
        <v>0</v>
      </c>
      <c r="E48" s="33">
        <v>10</v>
      </c>
      <c r="F48" s="33">
        <v>0</v>
      </c>
      <c r="G48" s="33">
        <f t="shared" si="8"/>
        <v>10</v>
      </c>
      <c r="H48" s="33">
        <f t="shared" si="14"/>
        <v>59</v>
      </c>
      <c r="I48" s="33">
        <f t="shared" si="11"/>
        <v>22441</v>
      </c>
      <c r="J48" s="33">
        <f>H48/5</f>
        <v>11.8</v>
      </c>
      <c r="K48" s="42">
        <v>161</v>
      </c>
      <c r="L48" s="42">
        <v>33</v>
      </c>
      <c r="M48" s="43"/>
    </row>
    <row r="49" spans="1:13" ht="15" hidden="1">
      <c r="A49" s="7">
        <v>41244</v>
      </c>
      <c r="B49" s="37">
        <f t="shared" si="12"/>
        <v>4500</v>
      </c>
      <c r="C49" s="33">
        <f t="shared" si="13"/>
        <v>27000</v>
      </c>
      <c r="D49" s="33">
        <v>0</v>
      </c>
      <c r="E49" s="33">
        <v>100</v>
      </c>
      <c r="F49" s="33">
        <v>0</v>
      </c>
      <c r="G49" s="33">
        <f t="shared" si="8"/>
        <v>100</v>
      </c>
      <c r="H49" s="33">
        <f t="shared" si="14"/>
        <v>159</v>
      </c>
      <c r="I49" s="33">
        <f t="shared" si="11"/>
        <v>26841</v>
      </c>
      <c r="J49" s="33">
        <f>H49/6</f>
        <v>26.5</v>
      </c>
      <c r="K49" s="42"/>
      <c r="L49" s="42"/>
      <c r="M49" s="43"/>
    </row>
    <row r="50" spans="1:13" ht="15" hidden="1">
      <c r="A50" s="7">
        <v>41275</v>
      </c>
      <c r="B50" s="37">
        <f t="shared" si="12"/>
        <v>4500</v>
      </c>
      <c r="C50" s="33">
        <f t="shared" si="13"/>
        <v>31500</v>
      </c>
      <c r="D50" s="33">
        <v>0</v>
      </c>
      <c r="E50" s="33">
        <v>130</v>
      </c>
      <c r="F50" s="33">
        <v>0</v>
      </c>
      <c r="G50" s="33">
        <f t="shared" si="8"/>
        <v>130</v>
      </c>
      <c r="H50" s="33">
        <f t="shared" si="14"/>
        <v>289</v>
      </c>
      <c r="I50" s="33">
        <f t="shared" si="11"/>
        <v>31211</v>
      </c>
      <c r="J50" s="33">
        <f>H50/7</f>
        <v>41.285714285714285</v>
      </c>
      <c r="K50" s="42"/>
      <c r="L50" s="42"/>
      <c r="M50" s="43"/>
    </row>
    <row r="51" spans="1:13" ht="15" hidden="1">
      <c r="A51" s="7">
        <v>41306</v>
      </c>
      <c r="B51" s="37">
        <f t="shared" si="12"/>
        <v>4500</v>
      </c>
      <c r="C51" s="33">
        <f t="shared" si="13"/>
        <v>36000</v>
      </c>
      <c r="D51" s="33">
        <v>0</v>
      </c>
      <c r="E51" s="33">
        <v>215</v>
      </c>
      <c r="F51" s="33">
        <v>0</v>
      </c>
      <c r="G51" s="33">
        <f t="shared" si="8"/>
        <v>215</v>
      </c>
      <c r="H51" s="33">
        <f t="shared" si="14"/>
        <v>504</v>
      </c>
      <c r="I51" s="33">
        <f t="shared" si="11"/>
        <v>35496</v>
      </c>
      <c r="J51" s="33">
        <f>H51/8</f>
        <v>63</v>
      </c>
      <c r="K51" s="42"/>
      <c r="L51" s="42"/>
      <c r="M51" s="43"/>
    </row>
    <row r="52" spans="1:13" ht="15" hidden="1">
      <c r="A52" s="7">
        <v>41334</v>
      </c>
      <c r="B52" s="37">
        <f t="shared" si="12"/>
        <v>4500</v>
      </c>
      <c r="C52" s="33">
        <f t="shared" si="13"/>
        <v>40500</v>
      </c>
      <c r="D52" s="33">
        <v>0</v>
      </c>
      <c r="E52" s="33">
        <v>430</v>
      </c>
      <c r="F52" s="33">
        <v>0</v>
      </c>
      <c r="G52" s="33">
        <f t="shared" si="8"/>
        <v>430</v>
      </c>
      <c r="H52" s="33">
        <f t="shared" si="14"/>
        <v>934</v>
      </c>
      <c r="I52" s="33">
        <f t="shared" si="11"/>
        <v>39566</v>
      </c>
      <c r="J52" s="33">
        <f>H52/9</f>
        <v>103.77777777777777</v>
      </c>
      <c r="K52" s="42"/>
      <c r="L52" s="42"/>
      <c r="M52" s="43"/>
    </row>
    <row r="53" spans="1:13" ht="15" hidden="1">
      <c r="A53" s="7">
        <v>41365</v>
      </c>
      <c r="B53" s="37">
        <f t="shared" si="12"/>
        <v>4500</v>
      </c>
      <c r="C53" s="33">
        <f t="shared" si="13"/>
        <v>45000</v>
      </c>
      <c r="D53" s="33">
        <v>0</v>
      </c>
      <c r="E53" s="33">
        <v>245</v>
      </c>
      <c r="F53" s="33">
        <v>0</v>
      </c>
      <c r="G53" s="33">
        <f t="shared" si="8"/>
        <v>245</v>
      </c>
      <c r="H53" s="33">
        <f t="shared" si="14"/>
        <v>1179</v>
      </c>
      <c r="I53" s="33">
        <f t="shared" si="11"/>
        <v>43821</v>
      </c>
      <c r="J53" s="33">
        <f>H53/10</f>
        <v>117.9</v>
      </c>
      <c r="K53" s="42"/>
      <c r="L53" s="42"/>
      <c r="M53" s="43"/>
    </row>
    <row r="54" spans="1:13" ht="15" hidden="1">
      <c r="A54" s="7">
        <v>41395</v>
      </c>
      <c r="B54" s="37">
        <f t="shared" si="12"/>
        <v>4500</v>
      </c>
      <c r="C54" s="33">
        <f t="shared" si="13"/>
        <v>49500</v>
      </c>
      <c r="D54" s="33">
        <v>0</v>
      </c>
      <c r="E54" s="33">
        <v>133</v>
      </c>
      <c r="F54" s="33">
        <v>0</v>
      </c>
      <c r="G54" s="33">
        <f t="shared" si="8"/>
        <v>133</v>
      </c>
      <c r="H54" s="33">
        <f t="shared" si="14"/>
        <v>1312</v>
      </c>
      <c r="I54" s="33">
        <f t="shared" si="11"/>
        <v>48188</v>
      </c>
      <c r="J54" s="33">
        <f>H54/11</f>
        <v>119.27272727272727</v>
      </c>
      <c r="K54" s="42"/>
      <c r="L54" s="42"/>
      <c r="M54" s="43"/>
    </row>
    <row r="55" spans="1:13" ht="15.75" hidden="1" thickBot="1">
      <c r="A55" s="7">
        <v>41426</v>
      </c>
      <c r="B55" s="39">
        <f t="shared" si="12"/>
        <v>4500</v>
      </c>
      <c r="C55" s="34">
        <f t="shared" si="13"/>
        <v>54000</v>
      </c>
      <c r="D55" s="34">
        <v>0</v>
      </c>
      <c r="E55" s="34">
        <v>1329</v>
      </c>
      <c r="F55" s="34">
        <v>0</v>
      </c>
      <c r="G55" s="34">
        <f t="shared" si="8"/>
        <v>1329</v>
      </c>
      <c r="H55" s="34">
        <f t="shared" si="14"/>
        <v>2641</v>
      </c>
      <c r="I55" s="34">
        <f t="shared" si="11"/>
        <v>51359</v>
      </c>
      <c r="J55" s="34">
        <f>H55/12</f>
        <v>220.08333333333334</v>
      </c>
      <c r="K55" s="40"/>
      <c r="L55" s="40"/>
      <c r="M55" s="41"/>
    </row>
    <row r="56" spans="1:13" ht="15" hidden="1">
      <c r="A56" s="7">
        <v>41456</v>
      </c>
      <c r="B56" s="37">
        <f>$B$91/24</f>
        <v>5820.375</v>
      </c>
      <c r="C56" s="33">
        <f>B56</f>
        <v>5820.375</v>
      </c>
      <c r="D56" s="33">
        <v>0</v>
      </c>
      <c r="E56" s="33">
        <v>821</v>
      </c>
      <c r="F56" s="33">
        <v>0</v>
      </c>
      <c r="G56" s="33">
        <f t="shared" si="8"/>
        <v>821</v>
      </c>
      <c r="H56" s="33">
        <f>G56</f>
        <v>821</v>
      </c>
      <c r="I56" s="33">
        <f t="shared" si="11"/>
        <v>4999.375</v>
      </c>
      <c r="J56" s="33">
        <f>H56</f>
        <v>821</v>
      </c>
      <c r="K56" s="42">
        <v>204</v>
      </c>
      <c r="L56" s="42">
        <v>43</v>
      </c>
      <c r="M56" s="43"/>
    </row>
    <row r="57" spans="1:13" ht="15" hidden="1">
      <c r="A57" s="7">
        <v>41487</v>
      </c>
      <c r="B57" s="37">
        <f aca="true" t="shared" si="15" ref="B57:B79">$B$91/24</f>
        <v>5820.375</v>
      </c>
      <c r="C57" s="33">
        <f aca="true" t="shared" si="16" ref="C57:C79">C56+B57</f>
        <v>11640.75</v>
      </c>
      <c r="D57" s="33">
        <v>0</v>
      </c>
      <c r="E57" s="33">
        <v>1759</v>
      </c>
      <c r="F57" s="33">
        <v>0</v>
      </c>
      <c r="G57" s="33">
        <f t="shared" si="8"/>
        <v>1759</v>
      </c>
      <c r="H57" s="33">
        <f aca="true" t="shared" si="17" ref="H57:H62">G57+H56</f>
        <v>2580</v>
      </c>
      <c r="I57" s="33">
        <f t="shared" si="11"/>
        <v>9060.75</v>
      </c>
      <c r="J57" s="33">
        <f>H57/2</f>
        <v>1290</v>
      </c>
      <c r="K57" s="42">
        <v>206</v>
      </c>
      <c r="L57" s="42">
        <v>60</v>
      </c>
      <c r="M57" s="43"/>
    </row>
    <row r="58" spans="1:13" ht="15" hidden="1">
      <c r="A58" s="7">
        <v>41518</v>
      </c>
      <c r="B58" s="37">
        <f t="shared" si="15"/>
        <v>5820.375</v>
      </c>
      <c r="C58" s="33">
        <f t="shared" si="16"/>
        <v>17461.125</v>
      </c>
      <c r="D58" s="33">
        <v>0</v>
      </c>
      <c r="E58" s="33">
        <v>590</v>
      </c>
      <c r="F58" s="33">
        <v>0</v>
      </c>
      <c r="G58" s="33">
        <f t="shared" si="8"/>
        <v>590</v>
      </c>
      <c r="H58" s="33">
        <f t="shared" si="17"/>
        <v>3170</v>
      </c>
      <c r="I58" s="33">
        <f t="shared" si="11"/>
        <v>14291.125</v>
      </c>
      <c r="J58" s="33">
        <f>H58/3</f>
        <v>1056.6666666666667</v>
      </c>
      <c r="K58" s="42">
        <v>200</v>
      </c>
      <c r="L58" s="42">
        <v>65</v>
      </c>
      <c r="M58" s="43"/>
    </row>
    <row r="59" spans="1:13" ht="15" hidden="1">
      <c r="A59" s="7">
        <v>41548</v>
      </c>
      <c r="B59" s="37">
        <f t="shared" si="15"/>
        <v>5820.375</v>
      </c>
      <c r="C59" s="33">
        <f t="shared" si="16"/>
        <v>23281.5</v>
      </c>
      <c r="D59" s="33">
        <v>0</v>
      </c>
      <c r="E59" s="33">
        <v>717.26</v>
      </c>
      <c r="F59" s="33">
        <v>0</v>
      </c>
      <c r="G59" s="33">
        <f t="shared" si="8"/>
        <v>717.26</v>
      </c>
      <c r="H59" s="33">
        <f t="shared" si="17"/>
        <v>3887.26</v>
      </c>
      <c r="I59" s="33">
        <f t="shared" si="11"/>
        <v>19394.239999999998</v>
      </c>
      <c r="J59" s="33">
        <f>H59/4</f>
        <v>971.815</v>
      </c>
      <c r="K59" s="42">
        <v>200</v>
      </c>
      <c r="L59" s="42">
        <v>52</v>
      </c>
      <c r="M59" s="43"/>
    </row>
    <row r="60" spans="1:13" ht="15" hidden="1">
      <c r="A60" s="7">
        <v>41579</v>
      </c>
      <c r="B60" s="37">
        <f t="shared" si="15"/>
        <v>5820.375</v>
      </c>
      <c r="C60" s="33">
        <f t="shared" si="16"/>
        <v>29101.875</v>
      </c>
      <c r="D60" s="33">
        <v>0</v>
      </c>
      <c r="E60" s="33">
        <v>1948.19</v>
      </c>
      <c r="F60" s="33">
        <v>0</v>
      </c>
      <c r="G60" s="33">
        <f t="shared" si="8"/>
        <v>1948.19</v>
      </c>
      <c r="H60" s="33">
        <f t="shared" si="17"/>
        <v>5835.450000000001</v>
      </c>
      <c r="I60" s="33">
        <f aca="true" t="shared" si="18" ref="I60:I65">C60-H60</f>
        <v>23266.425</v>
      </c>
      <c r="J60" s="33">
        <f>H60/5</f>
        <v>1167.0900000000001</v>
      </c>
      <c r="K60" s="42">
        <v>207</v>
      </c>
      <c r="L60" s="42">
        <v>71</v>
      </c>
      <c r="M60" s="43"/>
    </row>
    <row r="61" spans="1:13" ht="15" hidden="1">
      <c r="A61" s="7">
        <v>41609</v>
      </c>
      <c r="B61" s="37">
        <f t="shared" si="15"/>
        <v>5820.375</v>
      </c>
      <c r="C61" s="33">
        <f t="shared" si="16"/>
        <v>34922.25</v>
      </c>
      <c r="D61" s="33">
        <v>0</v>
      </c>
      <c r="E61" s="33">
        <v>1795.5</v>
      </c>
      <c r="F61" s="33">
        <v>0</v>
      </c>
      <c r="G61" s="33">
        <f t="shared" si="8"/>
        <v>1795.5</v>
      </c>
      <c r="H61" s="33">
        <f t="shared" si="17"/>
        <v>7630.950000000001</v>
      </c>
      <c r="I61" s="33">
        <f t="shared" si="18"/>
        <v>27291.3</v>
      </c>
      <c r="J61" s="33">
        <f>H61/6</f>
        <v>1271.825</v>
      </c>
      <c r="K61" s="42">
        <v>204</v>
      </c>
      <c r="L61" s="42">
        <v>73</v>
      </c>
      <c r="M61" s="43"/>
    </row>
    <row r="62" spans="1:13" ht="15" hidden="1">
      <c r="A62" s="7">
        <v>41640</v>
      </c>
      <c r="B62" s="37">
        <f t="shared" si="15"/>
        <v>5820.375</v>
      </c>
      <c r="C62" s="33">
        <f t="shared" si="16"/>
        <v>40742.625</v>
      </c>
      <c r="D62" s="33">
        <v>0</v>
      </c>
      <c r="E62" s="33">
        <v>2084.32</v>
      </c>
      <c r="F62" s="33">
        <v>0</v>
      </c>
      <c r="G62" s="33">
        <f t="shared" si="8"/>
        <v>2084.32</v>
      </c>
      <c r="H62" s="33">
        <f t="shared" si="17"/>
        <v>9715.27</v>
      </c>
      <c r="I62" s="33">
        <f t="shared" si="18"/>
        <v>31027.355</v>
      </c>
      <c r="J62" s="33">
        <f>H62/7</f>
        <v>1387.8957142857143</v>
      </c>
      <c r="K62" s="42">
        <v>228</v>
      </c>
      <c r="L62" s="42">
        <v>68</v>
      </c>
      <c r="M62" s="43"/>
    </row>
    <row r="63" spans="1:13" ht="15" hidden="1">
      <c r="A63" s="7">
        <v>41671</v>
      </c>
      <c r="B63" s="37">
        <f t="shared" si="15"/>
        <v>5820.375</v>
      </c>
      <c r="C63" s="33">
        <f t="shared" si="16"/>
        <v>46563</v>
      </c>
      <c r="D63" s="33">
        <v>0</v>
      </c>
      <c r="E63" s="33">
        <v>2188.45</v>
      </c>
      <c r="F63" s="33">
        <v>0</v>
      </c>
      <c r="G63" s="33">
        <f t="shared" si="8"/>
        <v>2188.45</v>
      </c>
      <c r="H63" s="33">
        <f aca="true" t="shared" si="19" ref="H63:H68">G63+H62</f>
        <v>11903.720000000001</v>
      </c>
      <c r="I63" s="33">
        <f t="shared" si="18"/>
        <v>34659.28</v>
      </c>
      <c r="J63" s="33">
        <f>H63/8</f>
        <v>1487.9650000000001</v>
      </c>
      <c r="K63" s="42">
        <v>215</v>
      </c>
      <c r="L63" s="42">
        <v>67</v>
      </c>
      <c r="M63" s="43"/>
    </row>
    <row r="64" spans="1:13" ht="15" hidden="1">
      <c r="A64" s="7">
        <v>41699</v>
      </c>
      <c r="B64" s="37">
        <f t="shared" si="15"/>
        <v>5820.375</v>
      </c>
      <c r="C64" s="33">
        <f t="shared" si="16"/>
        <v>52383.375</v>
      </c>
      <c r="D64" s="33">
        <v>0</v>
      </c>
      <c r="E64" s="33">
        <v>1089.23</v>
      </c>
      <c r="F64" s="33">
        <v>0</v>
      </c>
      <c r="G64" s="33">
        <f t="shared" si="8"/>
        <v>1089.23</v>
      </c>
      <c r="H64" s="33">
        <f t="shared" si="19"/>
        <v>12992.95</v>
      </c>
      <c r="I64" s="33">
        <f t="shared" si="18"/>
        <v>39390.425</v>
      </c>
      <c r="J64" s="33">
        <f>H64/9</f>
        <v>1443.6611111111113</v>
      </c>
      <c r="K64" s="42">
        <v>217</v>
      </c>
      <c r="L64" s="42">
        <v>68</v>
      </c>
      <c r="M64" s="43"/>
    </row>
    <row r="65" spans="1:13" ht="15" hidden="1">
      <c r="A65" s="7">
        <v>41730</v>
      </c>
      <c r="B65" s="37">
        <f t="shared" si="15"/>
        <v>5820.375</v>
      </c>
      <c r="C65" s="33">
        <f t="shared" si="16"/>
        <v>58203.75</v>
      </c>
      <c r="D65" s="33">
        <v>0</v>
      </c>
      <c r="E65" s="33">
        <v>1860.96</v>
      </c>
      <c r="F65" s="33">
        <v>0</v>
      </c>
      <c r="G65" s="33">
        <f t="shared" si="8"/>
        <v>1860.96</v>
      </c>
      <c r="H65" s="33">
        <f t="shared" si="19"/>
        <v>14853.91</v>
      </c>
      <c r="I65" s="33">
        <f t="shared" si="18"/>
        <v>43349.84</v>
      </c>
      <c r="J65" s="33">
        <f>H65/10</f>
        <v>1485.391</v>
      </c>
      <c r="K65" s="42">
        <v>220</v>
      </c>
      <c r="L65" s="42">
        <v>64</v>
      </c>
      <c r="M65" s="43"/>
    </row>
    <row r="66" spans="1:13" ht="15" hidden="1">
      <c r="A66" s="7">
        <v>41760</v>
      </c>
      <c r="B66" s="37">
        <f t="shared" si="15"/>
        <v>5820.375</v>
      </c>
      <c r="C66" s="33">
        <f t="shared" si="16"/>
        <v>64024.125</v>
      </c>
      <c r="D66" s="33">
        <v>0</v>
      </c>
      <c r="E66" s="33">
        <v>2112.58</v>
      </c>
      <c r="F66" s="33">
        <v>0</v>
      </c>
      <c r="G66" s="33">
        <f t="shared" si="8"/>
        <v>2112.58</v>
      </c>
      <c r="H66" s="33">
        <f t="shared" si="19"/>
        <v>16966.489999999998</v>
      </c>
      <c r="I66" s="33">
        <f aca="true" t="shared" si="20" ref="I66:I71">C66-H66</f>
        <v>47057.635</v>
      </c>
      <c r="J66" s="33">
        <f>H66/11</f>
        <v>1542.4081818181817</v>
      </c>
      <c r="K66" s="42">
        <v>203</v>
      </c>
      <c r="L66" s="42">
        <v>74</v>
      </c>
      <c r="M66" s="43"/>
    </row>
    <row r="67" spans="1:13" ht="15" hidden="1">
      <c r="A67" s="7">
        <v>41791</v>
      </c>
      <c r="B67" s="37">
        <f t="shared" si="15"/>
        <v>5820.375</v>
      </c>
      <c r="C67" s="33">
        <f t="shared" si="16"/>
        <v>69844.5</v>
      </c>
      <c r="D67" s="33">
        <v>0</v>
      </c>
      <c r="E67" s="33">
        <v>1851</v>
      </c>
      <c r="F67" s="33">
        <v>0</v>
      </c>
      <c r="G67" s="33">
        <f t="shared" si="8"/>
        <v>1851</v>
      </c>
      <c r="H67" s="33">
        <f t="shared" si="19"/>
        <v>18817.489999999998</v>
      </c>
      <c r="I67" s="33">
        <f t="shared" si="20"/>
        <v>51027.01</v>
      </c>
      <c r="J67" s="33">
        <f>H67/12</f>
        <v>1568.1241666666665</v>
      </c>
      <c r="K67" s="42">
        <v>196</v>
      </c>
      <c r="L67" s="42">
        <v>77</v>
      </c>
      <c r="M67" s="43"/>
    </row>
    <row r="68" spans="1:13" ht="15">
      <c r="A68" s="7">
        <v>41821</v>
      </c>
      <c r="B68" s="37">
        <f t="shared" si="15"/>
        <v>5820.375</v>
      </c>
      <c r="C68" s="33">
        <f t="shared" si="16"/>
        <v>75664.875</v>
      </c>
      <c r="D68" s="33">
        <v>0</v>
      </c>
      <c r="E68" s="33">
        <v>2968</v>
      </c>
      <c r="F68" s="33">
        <v>0</v>
      </c>
      <c r="G68" s="33">
        <f t="shared" si="8"/>
        <v>2968</v>
      </c>
      <c r="H68" s="33">
        <f t="shared" si="19"/>
        <v>21785.489999999998</v>
      </c>
      <c r="I68" s="33">
        <f t="shared" si="20"/>
        <v>53879.385</v>
      </c>
      <c r="J68" s="33">
        <f>H68/13</f>
        <v>1675.8069230769229</v>
      </c>
      <c r="K68" s="42">
        <v>212</v>
      </c>
      <c r="L68" s="42">
        <v>79</v>
      </c>
      <c r="M68" s="43"/>
    </row>
    <row r="69" spans="1:13" ht="15">
      <c r="A69" s="7">
        <v>41852</v>
      </c>
      <c r="B69" s="37">
        <f t="shared" si="15"/>
        <v>5820.375</v>
      </c>
      <c r="C69" s="33">
        <f t="shared" si="16"/>
        <v>81485.25</v>
      </c>
      <c r="D69" s="33">
        <v>0</v>
      </c>
      <c r="E69" s="33">
        <v>5267</v>
      </c>
      <c r="F69" s="33">
        <v>0</v>
      </c>
      <c r="G69" s="33">
        <f t="shared" si="8"/>
        <v>5267</v>
      </c>
      <c r="H69" s="33">
        <f aca="true" t="shared" si="21" ref="H69:H74">G69+H68</f>
        <v>27052.489999999998</v>
      </c>
      <c r="I69" s="33">
        <f t="shared" si="20"/>
        <v>54432.76</v>
      </c>
      <c r="J69" s="33">
        <f>H69/14</f>
        <v>1932.320714285714</v>
      </c>
      <c r="K69" s="42">
        <v>198</v>
      </c>
      <c r="L69" s="42">
        <v>119</v>
      </c>
      <c r="M69" s="43"/>
    </row>
    <row r="70" spans="1:13" ht="15">
      <c r="A70" s="7">
        <v>41883</v>
      </c>
      <c r="B70" s="37">
        <f t="shared" si="15"/>
        <v>5820.375</v>
      </c>
      <c r="C70" s="33">
        <f t="shared" si="16"/>
        <v>87305.625</v>
      </c>
      <c r="D70" s="33">
        <v>0</v>
      </c>
      <c r="E70" s="33">
        <v>4085</v>
      </c>
      <c r="F70" s="33">
        <v>0</v>
      </c>
      <c r="G70" s="33">
        <f t="shared" si="8"/>
        <v>4085</v>
      </c>
      <c r="H70" s="33">
        <f t="shared" si="21"/>
        <v>31137.489999999998</v>
      </c>
      <c r="I70" s="33">
        <f t="shared" si="20"/>
        <v>56168.135</v>
      </c>
      <c r="J70" s="33">
        <f>H70/15</f>
        <v>2075.8326666666667</v>
      </c>
      <c r="K70" s="42">
        <v>179</v>
      </c>
      <c r="L70" s="42">
        <v>147</v>
      </c>
      <c r="M70" s="43"/>
    </row>
    <row r="71" spans="1:13" ht="15">
      <c r="A71" s="7">
        <v>41913</v>
      </c>
      <c r="B71" s="37">
        <f t="shared" si="15"/>
        <v>5820.375</v>
      </c>
      <c r="C71" s="33">
        <f t="shared" si="16"/>
        <v>93126</v>
      </c>
      <c r="D71" s="33">
        <v>0</v>
      </c>
      <c r="E71" s="33">
        <v>5056</v>
      </c>
      <c r="F71" s="33">
        <v>0</v>
      </c>
      <c r="G71" s="33">
        <f t="shared" si="8"/>
        <v>5056</v>
      </c>
      <c r="H71" s="33">
        <f t="shared" si="21"/>
        <v>36193.49</v>
      </c>
      <c r="I71" s="33">
        <f t="shared" si="20"/>
        <v>56932.51</v>
      </c>
      <c r="J71" s="33">
        <f>H71/16</f>
        <v>2262.093125</v>
      </c>
      <c r="K71" s="42">
        <v>195</v>
      </c>
      <c r="L71" s="42">
        <v>148</v>
      </c>
      <c r="M71" s="43"/>
    </row>
    <row r="72" spans="1:13" ht="15">
      <c r="A72" s="7">
        <v>41944</v>
      </c>
      <c r="B72" s="37">
        <f t="shared" si="15"/>
        <v>5820.375</v>
      </c>
      <c r="C72" s="33">
        <f t="shared" si="16"/>
        <v>98946.375</v>
      </c>
      <c r="D72" s="33">
        <v>0</v>
      </c>
      <c r="E72" s="33">
        <v>7913</v>
      </c>
      <c r="F72" s="33">
        <v>0</v>
      </c>
      <c r="G72" s="33">
        <f t="shared" si="8"/>
        <v>7913</v>
      </c>
      <c r="H72" s="33">
        <f t="shared" si="21"/>
        <v>44106.49</v>
      </c>
      <c r="I72" s="33">
        <f>C72-H72</f>
        <v>54839.885</v>
      </c>
      <c r="J72" s="33">
        <f>H72/17</f>
        <v>2594.4994117647057</v>
      </c>
      <c r="K72" s="42">
        <v>194</v>
      </c>
      <c r="L72" s="42">
        <v>147</v>
      </c>
      <c r="M72" s="43"/>
    </row>
    <row r="73" spans="1:13" ht="15">
      <c r="A73" s="7">
        <v>41974</v>
      </c>
      <c r="B73" s="37">
        <f t="shared" si="15"/>
        <v>5820.375</v>
      </c>
      <c r="C73" s="33">
        <f t="shared" si="16"/>
        <v>104766.75</v>
      </c>
      <c r="D73" s="33">
        <v>0</v>
      </c>
      <c r="E73" s="33">
        <v>6914</v>
      </c>
      <c r="F73" s="33">
        <v>0</v>
      </c>
      <c r="G73" s="33">
        <f t="shared" si="8"/>
        <v>6914</v>
      </c>
      <c r="H73" s="33">
        <f t="shared" si="21"/>
        <v>51020.49</v>
      </c>
      <c r="I73" s="33">
        <f>C73-H73</f>
        <v>53746.26</v>
      </c>
      <c r="J73" s="33">
        <f>H73/18</f>
        <v>2834.4716666666664</v>
      </c>
      <c r="K73" s="42">
        <v>188</v>
      </c>
      <c r="L73" s="42">
        <v>119</v>
      </c>
      <c r="M73" s="43"/>
    </row>
    <row r="74" spans="1:13" ht="15">
      <c r="A74" s="7">
        <v>42005</v>
      </c>
      <c r="B74" s="37">
        <f t="shared" si="15"/>
        <v>5820.375</v>
      </c>
      <c r="C74" s="33">
        <f t="shared" si="16"/>
        <v>110587.125</v>
      </c>
      <c r="D74" s="33">
        <v>0</v>
      </c>
      <c r="E74" s="33">
        <v>3483</v>
      </c>
      <c r="F74" s="33">
        <v>0</v>
      </c>
      <c r="G74" s="33">
        <f t="shared" si="8"/>
        <v>3483</v>
      </c>
      <c r="H74" s="33">
        <f t="shared" si="21"/>
        <v>54503.49</v>
      </c>
      <c r="I74" s="33">
        <f>C74-H74</f>
        <v>56083.635</v>
      </c>
      <c r="J74" s="33">
        <f>H74/19</f>
        <v>2868.604736842105</v>
      </c>
      <c r="K74" s="42">
        <v>190</v>
      </c>
      <c r="L74" s="42">
        <v>91</v>
      </c>
      <c r="M74" s="43"/>
    </row>
    <row r="75" spans="1:13" ht="15">
      <c r="A75" s="7">
        <v>42036</v>
      </c>
      <c r="B75" s="37">
        <f t="shared" si="15"/>
        <v>5820.375</v>
      </c>
      <c r="C75" s="33">
        <f t="shared" si="16"/>
        <v>116407.5</v>
      </c>
      <c r="D75" s="33"/>
      <c r="E75" s="33"/>
      <c r="F75" s="33"/>
      <c r="G75" s="33"/>
      <c r="H75" s="33"/>
      <c r="I75" s="33"/>
      <c r="J75" s="33"/>
      <c r="K75" s="42"/>
      <c r="L75" s="42"/>
      <c r="M75" s="43"/>
    </row>
    <row r="76" spans="1:13" ht="15">
      <c r="A76" s="7">
        <v>42064</v>
      </c>
      <c r="B76" s="37">
        <f t="shared" si="15"/>
        <v>5820.375</v>
      </c>
      <c r="C76" s="33">
        <f t="shared" si="16"/>
        <v>122227.875</v>
      </c>
      <c r="D76" s="33"/>
      <c r="E76" s="33"/>
      <c r="F76" s="33"/>
      <c r="G76" s="33"/>
      <c r="H76" s="33"/>
      <c r="I76" s="33"/>
      <c r="J76" s="33"/>
      <c r="K76" s="42"/>
      <c r="L76" s="42"/>
      <c r="M76" s="43"/>
    </row>
    <row r="77" spans="1:13" ht="15">
      <c r="A77" s="7">
        <v>42095</v>
      </c>
      <c r="B77" s="37">
        <f t="shared" si="15"/>
        <v>5820.375</v>
      </c>
      <c r="C77" s="33">
        <f t="shared" si="16"/>
        <v>128048.25</v>
      </c>
      <c r="D77" s="33"/>
      <c r="E77" s="33"/>
      <c r="F77" s="33"/>
      <c r="G77" s="33"/>
      <c r="H77" s="33"/>
      <c r="I77" s="33"/>
      <c r="J77" s="33"/>
      <c r="K77" s="42"/>
      <c r="L77" s="42"/>
      <c r="M77" s="43"/>
    </row>
    <row r="78" spans="1:13" ht="15">
      <c r="A78" s="7">
        <v>42125</v>
      </c>
      <c r="B78" s="37">
        <f t="shared" si="15"/>
        <v>5820.375</v>
      </c>
      <c r="C78" s="33">
        <f t="shared" si="16"/>
        <v>133868.625</v>
      </c>
      <c r="D78" s="33"/>
      <c r="E78" s="33"/>
      <c r="F78" s="33"/>
      <c r="G78" s="33"/>
      <c r="H78" s="33"/>
      <c r="I78" s="33"/>
      <c r="J78" s="33"/>
      <c r="K78" s="42"/>
      <c r="L78" s="42"/>
      <c r="M78" s="43"/>
    </row>
    <row r="79" spans="1:13" ht="15">
      <c r="A79" s="7">
        <v>42156</v>
      </c>
      <c r="B79" s="37">
        <f t="shared" si="15"/>
        <v>5820.375</v>
      </c>
      <c r="C79" s="33">
        <f t="shared" si="16"/>
        <v>139689</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65276</v>
      </c>
      <c r="C81" s="25">
        <f>SUM(B8:B19)</f>
        <v>65275.99999999999</v>
      </c>
      <c r="D81" s="25">
        <f>SUM(D8:D19)</f>
        <v>2680</v>
      </c>
      <c r="E81" s="25">
        <f>SUM(E8:E19)</f>
        <v>77967</v>
      </c>
      <c r="F81" s="25"/>
      <c r="G81" s="25">
        <f>SUM(G8:G19)</f>
        <v>80647</v>
      </c>
      <c r="H81" s="25">
        <f>G81</f>
        <v>80647</v>
      </c>
      <c r="I81" s="25">
        <f>I19</f>
        <v>-15371.000000000007</v>
      </c>
      <c r="J81" s="25">
        <f>J19</f>
        <v>7960.4</v>
      </c>
      <c r="K81" s="30">
        <f>SUM(K8:K19)</f>
        <v>639</v>
      </c>
      <c r="L81" s="30">
        <f>SUM(L8:L19)</f>
        <v>630</v>
      </c>
      <c r="M81" s="30">
        <f>SUM(M8:M19)</f>
        <v>89</v>
      </c>
    </row>
    <row r="82" spans="1:13" ht="15" hidden="1">
      <c r="A82" s="20" t="s">
        <v>22</v>
      </c>
      <c r="B82" s="25">
        <v>84967</v>
      </c>
      <c r="C82" s="25">
        <f>C31</f>
        <v>84966.99999999999</v>
      </c>
      <c r="D82" s="25">
        <f>SUM(D20:D31)</f>
        <v>5372</v>
      </c>
      <c r="E82" s="25">
        <f>SUM(E20:E31)</f>
        <v>59285</v>
      </c>
      <c r="F82" s="25"/>
      <c r="G82" s="25">
        <f>SUM(G20:G31)</f>
        <v>64657</v>
      </c>
      <c r="H82" s="25">
        <f>G82</f>
        <v>64657</v>
      </c>
      <c r="I82" s="25">
        <f>I31</f>
        <v>20309.999999999985</v>
      </c>
      <c r="J82" s="25">
        <f>AVERAGE(G20:G31)</f>
        <v>5388.083333333333</v>
      </c>
      <c r="K82" s="30">
        <f>SUM(K20:K31)</f>
        <v>831</v>
      </c>
      <c r="L82" s="30">
        <f>SUM(L20:L31)</f>
        <v>791</v>
      </c>
      <c r="M82" s="30">
        <f>SUM(M20:M31)</f>
        <v>203</v>
      </c>
    </row>
    <row r="83" spans="1:13" ht="15" hidden="1">
      <c r="A83" s="20" t="s">
        <v>23</v>
      </c>
      <c r="B83" s="25">
        <f>SUM(B81:B82)</f>
        <v>150243</v>
      </c>
      <c r="C83" s="25">
        <f>SUM(C81:C82)</f>
        <v>150242.99999999997</v>
      </c>
      <c r="D83" s="25">
        <f>D81+D82</f>
        <v>8052</v>
      </c>
      <c r="E83" s="25">
        <f>E81+E82</f>
        <v>137252</v>
      </c>
      <c r="F83" s="25"/>
      <c r="G83" s="25">
        <f>G81+G82</f>
        <v>145304</v>
      </c>
      <c r="H83" s="25">
        <f>H81+H82</f>
        <v>145304</v>
      </c>
      <c r="I83" s="25"/>
      <c r="J83" s="25">
        <f>AVERAGE(G8:G31)</f>
        <v>6054.333333333333</v>
      </c>
      <c r="K83" s="27">
        <f>SUM(K81:K82)</f>
        <v>1470</v>
      </c>
      <c r="L83" s="27">
        <f>SUM(L81:L82)</f>
        <v>1421</v>
      </c>
      <c r="M83" s="27">
        <f>SUM(M81:M82)</f>
        <v>292</v>
      </c>
    </row>
    <row r="84" spans="1:12" ht="15" hidden="1">
      <c r="A84" s="20"/>
      <c r="B84" s="25"/>
      <c r="C84" s="25"/>
      <c r="D84" s="25"/>
      <c r="E84" s="25"/>
      <c r="F84" s="25"/>
      <c r="G84" s="25"/>
      <c r="H84" s="25"/>
      <c r="I84" s="25"/>
      <c r="J84" s="25"/>
      <c r="K84" s="27"/>
      <c r="L84" s="27"/>
    </row>
    <row r="85" spans="1:13" ht="15" hidden="1">
      <c r="A85" s="20" t="s">
        <v>24</v>
      </c>
      <c r="B85" s="25">
        <v>23755</v>
      </c>
      <c r="C85" s="25">
        <f>C43</f>
        <v>23754.999999999996</v>
      </c>
      <c r="D85" s="25">
        <f>SUM(D32:D43)</f>
        <v>30</v>
      </c>
      <c r="E85" s="25">
        <f>SUM(E32:E43)</f>
        <v>3121</v>
      </c>
      <c r="F85" s="25">
        <f>SUM(F32:F74)</f>
        <v>0</v>
      </c>
      <c r="G85" s="25">
        <f>SUM(G32:G43)</f>
        <v>3151</v>
      </c>
      <c r="H85" s="25">
        <f>G85</f>
        <v>3151</v>
      </c>
      <c r="I85" s="25">
        <f>I43</f>
        <v>20603.999999999996</v>
      </c>
      <c r="J85" s="25">
        <f>AVERAGE(G32:G43)</f>
        <v>262.5833333333333</v>
      </c>
      <c r="K85" s="30">
        <f>SUM(K32:K43)</f>
        <v>1796</v>
      </c>
      <c r="L85" s="30">
        <f>SUM(L32:L43)</f>
        <v>373</v>
      </c>
      <c r="M85" s="4">
        <f>SUM(M32:M43)</f>
        <v>47</v>
      </c>
    </row>
    <row r="86" spans="1:13" ht="15" hidden="1">
      <c r="A86" s="20" t="s">
        <v>25</v>
      </c>
      <c r="B86" s="25">
        <v>54000</v>
      </c>
      <c r="C86" s="25">
        <f>SUM(B44:B55)</f>
        <v>54000</v>
      </c>
      <c r="D86" s="25">
        <f>SUM(D44:D55)</f>
        <v>0</v>
      </c>
      <c r="E86" s="25">
        <f>SUM(E44:E55)</f>
        <v>2641</v>
      </c>
      <c r="F86" s="25">
        <f>SUM(F44:F55)</f>
        <v>0</v>
      </c>
      <c r="G86" s="25">
        <f>SUM(G44:G55)</f>
        <v>2641</v>
      </c>
      <c r="H86" s="25">
        <f>G86</f>
        <v>2641</v>
      </c>
      <c r="I86" s="25" t="str">
        <f>I5</f>
        <v>DISTRICT</v>
      </c>
      <c r="J86" s="25">
        <f>J55</f>
        <v>220.08333333333334</v>
      </c>
      <c r="K86" s="30">
        <f>SUM(K44:K55)</f>
        <v>794</v>
      </c>
      <c r="L86" s="30">
        <f>SUM(L44:L55)</f>
        <v>135</v>
      </c>
      <c r="M86" s="44">
        <f>SUM(M44:M55)</f>
        <v>0</v>
      </c>
    </row>
    <row r="87" spans="1:13" ht="15" hidden="1">
      <c r="A87" s="20" t="s">
        <v>26</v>
      </c>
      <c r="B87" s="25">
        <f>B85+B86</f>
        <v>77755</v>
      </c>
      <c r="C87" s="25">
        <f aca="true" t="shared" si="22" ref="C87:M87">SUM(C85:C86)</f>
        <v>77755</v>
      </c>
      <c r="D87" s="25">
        <f t="shared" si="22"/>
        <v>30</v>
      </c>
      <c r="E87" s="25">
        <f t="shared" si="22"/>
        <v>5762</v>
      </c>
      <c r="F87" s="25">
        <f t="shared" si="22"/>
        <v>0</v>
      </c>
      <c r="G87" s="25">
        <f t="shared" si="22"/>
        <v>5792</v>
      </c>
      <c r="H87" s="25">
        <f t="shared" si="22"/>
        <v>5792</v>
      </c>
      <c r="I87" s="25">
        <f t="shared" si="22"/>
        <v>20603.999999999996</v>
      </c>
      <c r="J87" s="25">
        <f t="shared" si="22"/>
        <v>482.66666666666663</v>
      </c>
      <c r="K87" s="27">
        <f t="shared" si="22"/>
        <v>2590</v>
      </c>
      <c r="L87" s="27">
        <f t="shared" si="22"/>
        <v>508</v>
      </c>
      <c r="M87" s="27">
        <f t="shared" si="22"/>
        <v>47</v>
      </c>
    </row>
    <row r="88" spans="1:12" ht="15" hidden="1">
      <c r="A88" s="20"/>
      <c r="B88" s="25"/>
      <c r="C88" s="25"/>
      <c r="D88" s="26"/>
      <c r="E88" s="25"/>
      <c r="F88" s="25"/>
      <c r="G88" s="25"/>
      <c r="I88" s="20"/>
      <c r="J88" s="25"/>
      <c r="K88" s="27"/>
      <c r="L88" s="27"/>
    </row>
    <row r="89" spans="1:13" s="56" customFormat="1" ht="18" hidden="1">
      <c r="A89" s="52" t="s">
        <v>27</v>
      </c>
      <c r="B89" s="53">
        <f>159689/2</f>
        <v>79844.5</v>
      </c>
      <c r="C89" s="53">
        <f>C67</f>
        <v>69844.5</v>
      </c>
      <c r="D89" s="53">
        <f>SUM(D56:D67)</f>
        <v>0</v>
      </c>
      <c r="E89" s="53">
        <f>SUM(E56:E67)</f>
        <v>18817.489999999998</v>
      </c>
      <c r="F89" s="53">
        <f>SUM(F56:F67)</f>
        <v>0</v>
      </c>
      <c r="G89" s="53">
        <f>SUM(G56:G67)</f>
        <v>18817.489999999998</v>
      </c>
      <c r="H89" s="53">
        <f>H67</f>
        <v>18817.489999999998</v>
      </c>
      <c r="I89" s="53">
        <f>I67</f>
        <v>51027.01</v>
      </c>
      <c r="J89" s="53">
        <f>J67</f>
        <v>1568.1241666666665</v>
      </c>
      <c r="K89" s="54">
        <f>SUM(K56:K67)</f>
        <v>2500</v>
      </c>
      <c r="L89" s="54">
        <f>SUM(L56:L67)</f>
        <v>782</v>
      </c>
      <c r="M89" s="55"/>
    </row>
    <row r="90" spans="1:13" s="56" customFormat="1" ht="18" hidden="1">
      <c r="A90" s="52" t="s">
        <v>28</v>
      </c>
      <c r="B90" s="53">
        <f>159689/2</f>
        <v>79844.5</v>
      </c>
      <c r="C90" s="53">
        <v>79844.5</v>
      </c>
      <c r="D90" s="53">
        <f>SUM(D68:D79)</f>
        <v>0</v>
      </c>
      <c r="E90" s="53">
        <f>SUM(E68:E79)</f>
        <v>35686</v>
      </c>
      <c r="F90" s="53">
        <f>SUM(F68:F79)</f>
        <v>0</v>
      </c>
      <c r="G90" s="53">
        <f>SUM(G68:G79)</f>
        <v>35686</v>
      </c>
      <c r="H90" s="55"/>
      <c r="I90" s="58"/>
      <c r="J90" s="53"/>
      <c r="K90" s="54">
        <f>SUM(K68:K79)</f>
        <v>1356</v>
      </c>
      <c r="L90" s="54">
        <f>SUM(L68:L79)</f>
        <v>850</v>
      </c>
      <c r="M90" s="55"/>
    </row>
    <row r="91" spans="1:13" ht="18">
      <c r="A91" s="20" t="s">
        <v>29</v>
      </c>
      <c r="B91" s="8">
        <v>139689</v>
      </c>
      <c r="C91" s="8">
        <f>C79</f>
        <v>139689</v>
      </c>
      <c r="D91" s="8">
        <f aca="true" t="shared" si="23" ref="D91:L91">D89+D90</f>
        <v>0</v>
      </c>
      <c r="E91" s="8">
        <f t="shared" si="23"/>
        <v>54503.49</v>
      </c>
      <c r="F91" s="8">
        <f t="shared" si="23"/>
        <v>0</v>
      </c>
      <c r="G91" s="8">
        <f t="shared" si="23"/>
        <v>54503.49</v>
      </c>
      <c r="H91" s="8">
        <f>H74</f>
        <v>54503.49</v>
      </c>
      <c r="I91" s="8">
        <f>I74</f>
        <v>56083.635</v>
      </c>
      <c r="J91" s="8">
        <f>J74</f>
        <v>2868.604736842105</v>
      </c>
      <c r="K91" s="9">
        <f t="shared" si="23"/>
        <v>3856</v>
      </c>
      <c r="L91" s="9">
        <f t="shared" si="23"/>
        <v>1632</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12" width="16.7109375" style="4" customWidth="1"/>
    <col min="13" max="13" width="8.8515625" style="4" hidden="1" customWidth="1"/>
  </cols>
  <sheetData>
    <row r="1" spans="1:10" ht="18">
      <c r="A1" s="1" t="s">
        <v>0</v>
      </c>
      <c r="B1" s="2"/>
      <c r="C1" s="3"/>
      <c r="D1" s="3"/>
      <c r="E1" s="3"/>
      <c r="F1" s="3"/>
      <c r="G1" s="2"/>
      <c r="H1" s="2"/>
      <c r="I1" s="2"/>
      <c r="J1" s="2"/>
    </row>
    <row r="2" spans="1:2" ht="18">
      <c r="A2" s="5" t="s">
        <v>1</v>
      </c>
      <c r="B2" s="6">
        <v>15</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123871.5</v>
      </c>
      <c r="C8" s="25">
        <f>B8</f>
        <v>123871.5</v>
      </c>
      <c r="D8" s="25">
        <v>13363</v>
      </c>
      <c r="E8" s="25">
        <v>82778</v>
      </c>
      <c r="F8" s="25"/>
      <c r="G8" s="25">
        <f aca="true" t="shared" si="1" ref="G8:G31">D8+E8</f>
        <v>96141</v>
      </c>
      <c r="H8" s="25">
        <f>G8</f>
        <v>96141</v>
      </c>
      <c r="I8" s="25">
        <f aca="true" t="shared" si="2" ref="I8:I39">C8-H8</f>
        <v>27730.5</v>
      </c>
      <c r="J8" s="25">
        <f>H8</f>
        <v>96141</v>
      </c>
      <c r="K8" s="30">
        <v>495</v>
      </c>
      <c r="L8" s="30">
        <v>459</v>
      </c>
    </row>
    <row r="9" spans="1:12" ht="15" hidden="1">
      <c r="A9" s="7">
        <v>39295</v>
      </c>
      <c r="B9" s="25">
        <f t="shared" si="0"/>
        <v>123871.5</v>
      </c>
      <c r="C9" s="25">
        <f aca="true" t="shared" si="3" ref="C9:C19">C8+B9</f>
        <v>247743</v>
      </c>
      <c r="D9" s="25">
        <v>19311</v>
      </c>
      <c r="E9" s="25">
        <v>96421</v>
      </c>
      <c r="F9" s="25"/>
      <c r="G9" s="25">
        <f t="shared" si="1"/>
        <v>115732</v>
      </c>
      <c r="H9" s="25">
        <f aca="true" t="shared" si="4" ref="H9:H19">H8+G9</f>
        <v>211873</v>
      </c>
      <c r="I9" s="25">
        <f t="shared" si="2"/>
        <v>35870</v>
      </c>
      <c r="J9" s="25">
        <f>AVERAGE(G8:G9)</f>
        <v>105936.5</v>
      </c>
      <c r="K9" s="30">
        <v>500</v>
      </c>
      <c r="L9" s="30">
        <v>481</v>
      </c>
    </row>
    <row r="10" spans="1:12" ht="15" hidden="1">
      <c r="A10" s="7">
        <v>39326</v>
      </c>
      <c r="B10" s="25">
        <f t="shared" si="0"/>
        <v>123871.5</v>
      </c>
      <c r="C10" s="25">
        <f t="shared" si="3"/>
        <v>371614.5</v>
      </c>
      <c r="D10" s="25">
        <v>9529</v>
      </c>
      <c r="E10" s="25">
        <v>90300</v>
      </c>
      <c r="F10" s="25"/>
      <c r="G10" s="25">
        <f t="shared" si="1"/>
        <v>99829</v>
      </c>
      <c r="H10" s="25">
        <f t="shared" si="4"/>
        <v>311702</v>
      </c>
      <c r="I10" s="25">
        <f t="shared" si="2"/>
        <v>59912.5</v>
      </c>
      <c r="J10" s="25">
        <f>AVERAGE(G8:G10)</f>
        <v>103900.66666666667</v>
      </c>
      <c r="K10" s="30">
        <v>528</v>
      </c>
      <c r="L10" s="30">
        <v>683</v>
      </c>
    </row>
    <row r="11" spans="1:13" ht="15" hidden="1">
      <c r="A11" s="7">
        <v>39356</v>
      </c>
      <c r="B11" s="25">
        <f t="shared" si="0"/>
        <v>123871.5</v>
      </c>
      <c r="C11" s="25">
        <f t="shared" si="3"/>
        <v>495486</v>
      </c>
      <c r="D11" s="25">
        <v>8198</v>
      </c>
      <c r="E11" s="25">
        <v>90388</v>
      </c>
      <c r="F11" s="25"/>
      <c r="G11" s="25">
        <f t="shared" si="1"/>
        <v>98586</v>
      </c>
      <c r="H11" s="25">
        <f t="shared" si="4"/>
        <v>410288</v>
      </c>
      <c r="I11" s="25">
        <f t="shared" si="2"/>
        <v>85198</v>
      </c>
      <c r="J11" s="25">
        <f>AVERAGE(G8:G11)</f>
        <v>102572</v>
      </c>
      <c r="K11" s="30">
        <v>514</v>
      </c>
      <c r="L11" s="30">
        <v>478</v>
      </c>
      <c r="M11" s="29">
        <v>5</v>
      </c>
    </row>
    <row r="12" spans="1:13" ht="15" hidden="1">
      <c r="A12" s="7">
        <v>39387</v>
      </c>
      <c r="B12" s="25">
        <f t="shared" si="0"/>
        <v>123871.5</v>
      </c>
      <c r="C12" s="25">
        <f t="shared" si="3"/>
        <v>619357.5</v>
      </c>
      <c r="D12" s="25">
        <v>20538</v>
      </c>
      <c r="E12" s="25">
        <v>85604</v>
      </c>
      <c r="F12" s="25"/>
      <c r="G12" s="25">
        <f t="shared" si="1"/>
        <v>106142</v>
      </c>
      <c r="H12" s="25">
        <f t="shared" si="4"/>
        <v>516430</v>
      </c>
      <c r="I12" s="25">
        <f t="shared" si="2"/>
        <v>102927.5</v>
      </c>
      <c r="J12" s="25">
        <f>AVERAGE(G8:G12)</f>
        <v>103286</v>
      </c>
      <c r="K12" s="30">
        <v>500</v>
      </c>
      <c r="L12" s="30">
        <v>504</v>
      </c>
      <c r="M12" s="29">
        <v>40</v>
      </c>
    </row>
    <row r="13" spans="1:13" ht="15" hidden="1">
      <c r="A13" s="7">
        <v>39417</v>
      </c>
      <c r="B13" s="25">
        <f t="shared" si="0"/>
        <v>123871.5</v>
      </c>
      <c r="C13" s="25">
        <f t="shared" si="3"/>
        <v>743229</v>
      </c>
      <c r="D13" s="25">
        <v>19321</v>
      </c>
      <c r="E13" s="25">
        <v>126476</v>
      </c>
      <c r="F13" s="25"/>
      <c r="G13" s="25">
        <f t="shared" si="1"/>
        <v>145797</v>
      </c>
      <c r="H13" s="25">
        <f t="shared" si="4"/>
        <v>662227</v>
      </c>
      <c r="I13" s="25">
        <f t="shared" si="2"/>
        <v>81002</v>
      </c>
      <c r="J13" s="25">
        <f>AVERAGE(G12:G13)</f>
        <v>125969.5</v>
      </c>
      <c r="K13" s="30">
        <v>538</v>
      </c>
      <c r="L13" s="30">
        <v>485</v>
      </c>
      <c r="M13" s="29">
        <v>64</v>
      </c>
    </row>
    <row r="14" spans="1:13" ht="15" hidden="1">
      <c r="A14" s="7">
        <v>39448</v>
      </c>
      <c r="B14" s="25">
        <f t="shared" si="0"/>
        <v>123871.5</v>
      </c>
      <c r="C14" s="25">
        <f t="shared" si="3"/>
        <v>867100.5</v>
      </c>
      <c r="D14" s="25">
        <v>11018</v>
      </c>
      <c r="E14" s="25">
        <v>106397</v>
      </c>
      <c r="F14" s="25"/>
      <c r="G14" s="25">
        <f t="shared" si="1"/>
        <v>117415</v>
      </c>
      <c r="H14" s="25">
        <f t="shared" si="4"/>
        <v>779642</v>
      </c>
      <c r="I14" s="25">
        <f t="shared" si="2"/>
        <v>87458.5</v>
      </c>
      <c r="J14" s="25">
        <f>AVERAGE(G12:G14)</f>
        <v>123118</v>
      </c>
      <c r="K14" s="30">
        <v>576</v>
      </c>
      <c r="L14" s="30">
        <v>520</v>
      </c>
      <c r="M14" s="29">
        <v>71</v>
      </c>
    </row>
    <row r="15" spans="1:13" ht="15" hidden="1">
      <c r="A15" s="7">
        <v>39479</v>
      </c>
      <c r="B15" s="25">
        <f t="shared" si="0"/>
        <v>123871.5</v>
      </c>
      <c r="C15" s="25">
        <f t="shared" si="3"/>
        <v>990972</v>
      </c>
      <c r="D15" s="25">
        <v>8464</v>
      </c>
      <c r="E15" s="25">
        <v>123039</v>
      </c>
      <c r="F15" s="25"/>
      <c r="G15" s="25">
        <f t="shared" si="1"/>
        <v>131503</v>
      </c>
      <c r="H15" s="25">
        <f t="shared" si="4"/>
        <v>911145</v>
      </c>
      <c r="I15" s="25">
        <f t="shared" si="2"/>
        <v>79827</v>
      </c>
      <c r="J15" s="25">
        <f>AVERAGE(G12:G15)</f>
        <v>125214.25</v>
      </c>
      <c r="K15" s="30">
        <v>605</v>
      </c>
      <c r="L15" s="30">
        <v>457</v>
      </c>
      <c r="M15" s="29">
        <v>80</v>
      </c>
    </row>
    <row r="16" spans="1:13" ht="15" hidden="1">
      <c r="A16" s="7">
        <v>39508</v>
      </c>
      <c r="B16" s="25">
        <f t="shared" si="0"/>
        <v>123871.5</v>
      </c>
      <c r="C16" s="25">
        <f t="shared" si="3"/>
        <v>1114843.5</v>
      </c>
      <c r="D16" s="25">
        <v>11265</v>
      </c>
      <c r="E16" s="25">
        <v>122900</v>
      </c>
      <c r="F16" s="25"/>
      <c r="G16" s="25">
        <f t="shared" si="1"/>
        <v>134165</v>
      </c>
      <c r="H16" s="25">
        <f t="shared" si="4"/>
        <v>1045310</v>
      </c>
      <c r="I16" s="25">
        <f t="shared" si="2"/>
        <v>69533.5</v>
      </c>
      <c r="J16" s="25">
        <f>AVERAGE(G12:G16)</f>
        <v>127004.4</v>
      </c>
      <c r="K16" s="30">
        <v>643</v>
      </c>
      <c r="L16" s="30">
        <v>481</v>
      </c>
      <c r="M16" s="29">
        <v>102</v>
      </c>
    </row>
    <row r="17" spans="1:13" ht="15" hidden="1">
      <c r="A17" s="7">
        <v>39539</v>
      </c>
      <c r="B17" s="25">
        <f t="shared" si="0"/>
        <v>123871.5</v>
      </c>
      <c r="C17" s="25">
        <f t="shared" si="3"/>
        <v>1238715</v>
      </c>
      <c r="D17" s="25">
        <v>12946</v>
      </c>
      <c r="E17" s="25">
        <v>114516</v>
      </c>
      <c r="F17" s="25"/>
      <c r="G17" s="25">
        <f t="shared" si="1"/>
        <v>127462</v>
      </c>
      <c r="H17" s="25">
        <f t="shared" si="4"/>
        <v>1172772</v>
      </c>
      <c r="I17" s="25">
        <f t="shared" si="2"/>
        <v>65943</v>
      </c>
      <c r="J17" s="25">
        <f>AVERAGE(G14:G17)</f>
        <v>127636.25</v>
      </c>
      <c r="K17" s="30">
        <v>639</v>
      </c>
      <c r="L17" s="30">
        <v>541</v>
      </c>
      <c r="M17" s="29">
        <v>114</v>
      </c>
    </row>
    <row r="18" spans="1:13" ht="15" hidden="1">
      <c r="A18" s="7">
        <v>39569</v>
      </c>
      <c r="B18" s="33">
        <f t="shared" si="0"/>
        <v>123871.5</v>
      </c>
      <c r="C18" s="33">
        <f t="shared" si="3"/>
        <v>1362586.5</v>
      </c>
      <c r="D18" s="33">
        <v>12673</v>
      </c>
      <c r="E18" s="33">
        <v>158371</v>
      </c>
      <c r="F18" s="33"/>
      <c r="G18" s="25">
        <f t="shared" si="1"/>
        <v>171044</v>
      </c>
      <c r="H18" s="25">
        <f t="shared" si="4"/>
        <v>1343816</v>
      </c>
      <c r="I18" s="25">
        <f t="shared" si="2"/>
        <v>18770.5</v>
      </c>
      <c r="J18" s="25">
        <f>AVERAGE(G14:G18)</f>
        <v>136317.8</v>
      </c>
      <c r="K18" s="30">
        <v>682</v>
      </c>
      <c r="L18" s="30">
        <v>503</v>
      </c>
      <c r="M18" s="29">
        <v>128</v>
      </c>
    </row>
    <row r="19" spans="1:13" ht="15.75" hidden="1" thickBot="1">
      <c r="A19" s="7">
        <v>39600</v>
      </c>
      <c r="B19" s="34">
        <f t="shared" si="0"/>
        <v>123871.5</v>
      </c>
      <c r="C19" s="34">
        <f t="shared" si="3"/>
        <v>1486458</v>
      </c>
      <c r="D19" s="34">
        <v>8181</v>
      </c>
      <c r="E19" s="34">
        <v>143332</v>
      </c>
      <c r="F19" s="34"/>
      <c r="G19" s="34">
        <f t="shared" si="1"/>
        <v>151513</v>
      </c>
      <c r="H19" s="34">
        <f t="shared" si="4"/>
        <v>1495329</v>
      </c>
      <c r="I19" s="34">
        <f t="shared" si="2"/>
        <v>-8871</v>
      </c>
      <c r="J19" s="34">
        <f>AVERAGE(G15:G19)</f>
        <v>143137.4</v>
      </c>
      <c r="K19" s="35">
        <v>704</v>
      </c>
      <c r="L19" s="35">
        <v>452</v>
      </c>
      <c r="M19" s="36">
        <v>131</v>
      </c>
    </row>
    <row r="20" spans="1:13" ht="15" hidden="1">
      <c r="A20" s="7">
        <v>39630</v>
      </c>
      <c r="B20" s="37">
        <v>221630.6</v>
      </c>
      <c r="C20" s="33">
        <f>B20</f>
        <v>221630.6</v>
      </c>
      <c r="D20" s="33">
        <v>13812</v>
      </c>
      <c r="E20" s="33">
        <v>144218</v>
      </c>
      <c r="F20" s="33"/>
      <c r="G20" s="33">
        <f t="shared" si="1"/>
        <v>158030</v>
      </c>
      <c r="H20" s="33">
        <f>G20</f>
        <v>158030</v>
      </c>
      <c r="I20" s="33">
        <f t="shared" si="2"/>
        <v>63600.600000000006</v>
      </c>
      <c r="J20" s="33">
        <f>H20</f>
        <v>158030</v>
      </c>
      <c r="K20" s="30">
        <v>726</v>
      </c>
      <c r="L20" s="30">
        <v>528</v>
      </c>
      <c r="M20" s="29">
        <v>141</v>
      </c>
    </row>
    <row r="21" spans="1:13" ht="15" hidden="1">
      <c r="A21" s="7">
        <v>39661</v>
      </c>
      <c r="B21" s="37">
        <v>221630.6</v>
      </c>
      <c r="C21" s="33">
        <f aca="true" t="shared" si="5" ref="C21:C31">C20+B21</f>
        <v>443261.2</v>
      </c>
      <c r="D21" s="33">
        <v>11531</v>
      </c>
      <c r="E21" s="33">
        <v>155160</v>
      </c>
      <c r="F21" s="33"/>
      <c r="G21" s="33">
        <f t="shared" si="1"/>
        <v>166691</v>
      </c>
      <c r="H21" s="33">
        <f aca="true" t="shared" si="6" ref="H21:H31">H20+G21</f>
        <v>324721</v>
      </c>
      <c r="I21" s="33">
        <f t="shared" si="2"/>
        <v>118540.20000000001</v>
      </c>
      <c r="J21" s="33">
        <f>H21/2</f>
        <v>162360.5</v>
      </c>
      <c r="K21" s="30">
        <v>754</v>
      </c>
      <c r="L21" s="30">
        <v>522</v>
      </c>
      <c r="M21" s="29">
        <v>151</v>
      </c>
    </row>
    <row r="22" spans="1:13" ht="15" hidden="1">
      <c r="A22" s="7">
        <v>39692</v>
      </c>
      <c r="B22" s="37">
        <v>221630.6</v>
      </c>
      <c r="C22" s="33">
        <f t="shared" si="5"/>
        <v>664891.8</v>
      </c>
      <c r="D22" s="33">
        <v>10232</v>
      </c>
      <c r="E22" s="33">
        <v>153664</v>
      </c>
      <c r="F22" s="33"/>
      <c r="G22" s="33">
        <f t="shared" si="1"/>
        <v>163896</v>
      </c>
      <c r="H22" s="33">
        <f t="shared" si="6"/>
        <v>488617</v>
      </c>
      <c r="I22" s="33">
        <f t="shared" si="2"/>
        <v>176274.80000000005</v>
      </c>
      <c r="J22" s="33">
        <f>H22/3</f>
        <v>162872.33333333334</v>
      </c>
      <c r="K22" s="30">
        <v>788</v>
      </c>
      <c r="L22" s="30">
        <v>578</v>
      </c>
      <c r="M22" s="29">
        <v>160</v>
      </c>
    </row>
    <row r="23" spans="1:13" ht="15" hidden="1">
      <c r="A23" s="7">
        <v>39722</v>
      </c>
      <c r="B23" s="37">
        <v>221630.6</v>
      </c>
      <c r="C23" s="33">
        <f t="shared" si="5"/>
        <v>886522.4</v>
      </c>
      <c r="D23" s="33">
        <v>18353</v>
      </c>
      <c r="E23" s="33">
        <v>145522</v>
      </c>
      <c r="F23" s="33"/>
      <c r="G23" s="33">
        <f t="shared" si="1"/>
        <v>163875</v>
      </c>
      <c r="H23" s="33">
        <f t="shared" si="6"/>
        <v>652492</v>
      </c>
      <c r="I23" s="33">
        <f t="shared" si="2"/>
        <v>234030.40000000002</v>
      </c>
      <c r="J23" s="33">
        <f>H23/4</f>
        <v>163123</v>
      </c>
      <c r="K23" s="30">
        <v>795</v>
      </c>
      <c r="L23" s="30">
        <v>564</v>
      </c>
      <c r="M23" s="29">
        <v>159</v>
      </c>
    </row>
    <row r="24" spans="1:13" ht="15" hidden="1">
      <c r="A24" s="7">
        <v>39753</v>
      </c>
      <c r="B24" s="37">
        <v>221630.6</v>
      </c>
      <c r="C24" s="33">
        <f t="shared" si="5"/>
        <v>1108153</v>
      </c>
      <c r="D24" s="33">
        <v>6792</v>
      </c>
      <c r="E24" s="33">
        <v>128568</v>
      </c>
      <c r="F24" s="33"/>
      <c r="G24" s="33">
        <f t="shared" si="1"/>
        <v>135360</v>
      </c>
      <c r="H24" s="33">
        <f t="shared" si="6"/>
        <v>787852</v>
      </c>
      <c r="I24" s="33">
        <f t="shared" si="2"/>
        <v>320301</v>
      </c>
      <c r="J24" s="33">
        <f>H24/5</f>
        <v>157570.4</v>
      </c>
      <c r="K24" s="30">
        <v>847</v>
      </c>
      <c r="L24" s="30">
        <v>552</v>
      </c>
      <c r="M24" s="29">
        <v>158</v>
      </c>
    </row>
    <row r="25" spans="1:13" ht="15" hidden="1">
      <c r="A25" s="7">
        <v>39783</v>
      </c>
      <c r="B25" s="38">
        <v>141267.42857142858</v>
      </c>
      <c r="C25" s="33">
        <f t="shared" si="5"/>
        <v>1249420.4285714286</v>
      </c>
      <c r="D25" s="33">
        <v>5143</v>
      </c>
      <c r="E25" s="33">
        <v>139481</v>
      </c>
      <c r="F25" s="33"/>
      <c r="G25" s="33">
        <f t="shared" si="1"/>
        <v>144624</v>
      </c>
      <c r="H25" s="33">
        <f t="shared" si="6"/>
        <v>932476</v>
      </c>
      <c r="I25" s="33">
        <f t="shared" si="2"/>
        <v>316944.42857142864</v>
      </c>
      <c r="J25" s="33">
        <f>H25/6</f>
        <v>155412.66666666666</v>
      </c>
      <c r="K25" s="30">
        <v>846</v>
      </c>
      <c r="L25" s="30">
        <v>458</v>
      </c>
      <c r="M25" s="29">
        <v>159</v>
      </c>
    </row>
    <row r="26" spans="1:13" ht="15" hidden="1">
      <c r="A26" s="7">
        <v>39814</v>
      </c>
      <c r="B26" s="38">
        <v>141267.42857142858</v>
      </c>
      <c r="C26" s="33">
        <f t="shared" si="5"/>
        <v>1390687.8571428573</v>
      </c>
      <c r="D26" s="33">
        <v>4048</v>
      </c>
      <c r="E26" s="33">
        <v>130266</v>
      </c>
      <c r="F26" s="33"/>
      <c r="G26" s="33">
        <f t="shared" si="1"/>
        <v>134314</v>
      </c>
      <c r="H26" s="33">
        <f t="shared" si="6"/>
        <v>1066790</v>
      </c>
      <c r="I26" s="33">
        <f t="shared" si="2"/>
        <v>323897.8571428573</v>
      </c>
      <c r="J26" s="33">
        <f>H26/7</f>
        <v>152398.57142857142</v>
      </c>
      <c r="K26" s="30">
        <v>896</v>
      </c>
      <c r="L26" s="30">
        <v>571</v>
      </c>
      <c r="M26" s="29">
        <v>150</v>
      </c>
    </row>
    <row r="27" spans="1:13" ht="15" hidden="1">
      <c r="A27" s="7">
        <v>39845</v>
      </c>
      <c r="B27" s="38">
        <v>141267.42857142858</v>
      </c>
      <c r="C27" s="33">
        <f t="shared" si="5"/>
        <v>1531955.285714286</v>
      </c>
      <c r="D27" s="33">
        <v>7245</v>
      </c>
      <c r="E27" s="33">
        <v>130785</v>
      </c>
      <c r="F27" s="33"/>
      <c r="G27" s="33">
        <f t="shared" si="1"/>
        <v>138030</v>
      </c>
      <c r="H27" s="33">
        <f t="shared" si="6"/>
        <v>1204820</v>
      </c>
      <c r="I27" s="33">
        <f t="shared" si="2"/>
        <v>327135.2857142859</v>
      </c>
      <c r="J27" s="33">
        <f>H27/8</f>
        <v>150602.5</v>
      </c>
      <c r="K27" s="30">
        <v>914</v>
      </c>
      <c r="L27" s="30">
        <v>563</v>
      </c>
      <c r="M27" s="29">
        <v>129</v>
      </c>
    </row>
    <row r="28" spans="1:13" ht="15" hidden="1">
      <c r="A28" s="7">
        <v>39873</v>
      </c>
      <c r="B28" s="38">
        <v>141267.42857142858</v>
      </c>
      <c r="C28" s="33">
        <f t="shared" si="5"/>
        <v>1673222.7142857146</v>
      </c>
      <c r="D28" s="33">
        <v>6841</v>
      </c>
      <c r="E28" s="33">
        <v>179242</v>
      </c>
      <c r="F28" s="33"/>
      <c r="G28" s="33">
        <f t="shared" si="1"/>
        <v>186083</v>
      </c>
      <c r="H28" s="33">
        <f t="shared" si="6"/>
        <v>1390903</v>
      </c>
      <c r="I28" s="33">
        <f t="shared" si="2"/>
        <v>282319.71428571455</v>
      </c>
      <c r="J28" s="33">
        <f>H28/9</f>
        <v>154544.77777777778</v>
      </c>
      <c r="K28" s="30">
        <v>946</v>
      </c>
      <c r="L28" s="30">
        <v>508</v>
      </c>
      <c r="M28" s="4">
        <v>122</v>
      </c>
    </row>
    <row r="29" spans="1:13" ht="15" hidden="1">
      <c r="A29" s="7">
        <v>39904</v>
      </c>
      <c r="B29" s="38">
        <v>141267.42857142858</v>
      </c>
      <c r="C29" s="33">
        <f t="shared" si="5"/>
        <v>1814490.1428571432</v>
      </c>
      <c r="D29" s="33">
        <v>6665</v>
      </c>
      <c r="E29" s="33">
        <v>162908</v>
      </c>
      <c r="F29" s="33"/>
      <c r="G29" s="33">
        <f t="shared" si="1"/>
        <v>169573</v>
      </c>
      <c r="H29" s="33">
        <f t="shared" si="6"/>
        <v>1560476</v>
      </c>
      <c r="I29" s="33">
        <f t="shared" si="2"/>
        <v>254014.1428571432</v>
      </c>
      <c r="J29" s="33">
        <f>H29/10</f>
        <v>156047.6</v>
      </c>
      <c r="K29" s="30">
        <v>988</v>
      </c>
      <c r="L29" s="30">
        <v>484</v>
      </c>
      <c r="M29" s="4">
        <v>126</v>
      </c>
    </row>
    <row r="30" spans="1:13" ht="15" hidden="1">
      <c r="A30" s="7">
        <v>39934</v>
      </c>
      <c r="B30" s="38">
        <v>141267.42857142858</v>
      </c>
      <c r="C30" s="33">
        <f t="shared" si="5"/>
        <v>1955757.5714285718</v>
      </c>
      <c r="D30" s="33">
        <v>2303</v>
      </c>
      <c r="E30" s="33">
        <v>156202</v>
      </c>
      <c r="F30" s="33"/>
      <c r="G30" s="33">
        <f t="shared" si="1"/>
        <v>158505</v>
      </c>
      <c r="H30" s="33">
        <f t="shared" si="6"/>
        <v>1718981</v>
      </c>
      <c r="I30" s="33">
        <f t="shared" si="2"/>
        <v>236776.57142857183</v>
      </c>
      <c r="J30" s="33">
        <f>H30/11</f>
        <v>156271</v>
      </c>
      <c r="K30" s="30">
        <v>1015</v>
      </c>
      <c r="L30" s="30">
        <v>491</v>
      </c>
      <c r="M30" s="4">
        <v>106</v>
      </c>
    </row>
    <row r="31" spans="1:13" ht="15.75" hidden="1" thickBot="1">
      <c r="A31" s="7">
        <v>39965</v>
      </c>
      <c r="B31" s="39">
        <v>141267.42857142858</v>
      </c>
      <c r="C31" s="34">
        <f t="shared" si="5"/>
        <v>2097025.0000000005</v>
      </c>
      <c r="D31" s="34">
        <v>4074</v>
      </c>
      <c r="E31" s="34">
        <v>138512</v>
      </c>
      <c r="F31" s="34"/>
      <c r="G31" s="34">
        <f t="shared" si="1"/>
        <v>142586</v>
      </c>
      <c r="H31" s="46">
        <f t="shared" si="6"/>
        <v>1861567</v>
      </c>
      <c r="I31" s="46">
        <f t="shared" si="2"/>
        <v>235458.00000000047</v>
      </c>
      <c r="J31" s="46">
        <f>H31/12</f>
        <v>155130.58333333334</v>
      </c>
      <c r="K31" s="40">
        <v>1016</v>
      </c>
      <c r="L31" s="40">
        <v>463</v>
      </c>
      <c r="M31" s="41">
        <v>106</v>
      </c>
    </row>
    <row r="32" spans="1:13" ht="18" hidden="1">
      <c r="A32" s="7">
        <v>40725</v>
      </c>
      <c r="B32" s="37">
        <f aca="true" t="shared" si="7" ref="B32:B43">$B$85/12</f>
        <v>29761.166666666668</v>
      </c>
      <c r="C32" s="33">
        <f>B32</f>
        <v>29761.166666666668</v>
      </c>
      <c r="D32" s="33">
        <v>110</v>
      </c>
      <c r="E32" s="33">
        <v>8222</v>
      </c>
      <c r="F32" s="33">
        <v>0</v>
      </c>
      <c r="G32" s="33">
        <f aca="true" t="shared" si="8" ref="G32:G74">D32+E32+F32</f>
        <v>8332</v>
      </c>
      <c r="H32" s="33">
        <f>G32</f>
        <v>8332</v>
      </c>
      <c r="I32" s="33">
        <f t="shared" si="2"/>
        <v>21429.166666666668</v>
      </c>
      <c r="J32" s="11">
        <f>H32</f>
        <v>8332</v>
      </c>
      <c r="K32" s="42">
        <v>1291</v>
      </c>
      <c r="L32" s="42">
        <v>236</v>
      </c>
      <c r="M32" s="43">
        <v>110</v>
      </c>
    </row>
    <row r="33" spans="1:13" ht="18" hidden="1">
      <c r="A33" s="7">
        <v>40756</v>
      </c>
      <c r="B33" s="37">
        <f t="shared" si="7"/>
        <v>29761.166666666668</v>
      </c>
      <c r="C33" s="33">
        <f aca="true" t="shared" si="9" ref="C33:C43">C32+B33</f>
        <v>59522.333333333336</v>
      </c>
      <c r="D33" s="33">
        <v>100</v>
      </c>
      <c r="E33" s="33">
        <f>-14467+60+25403</f>
        <v>10996</v>
      </c>
      <c r="F33" s="33">
        <v>0</v>
      </c>
      <c r="G33" s="33">
        <f t="shared" si="8"/>
        <v>11096</v>
      </c>
      <c r="H33" s="33">
        <f aca="true" t="shared" si="10" ref="H33:H43">H32+G33</f>
        <v>19428</v>
      </c>
      <c r="I33" s="33">
        <f t="shared" si="2"/>
        <v>40094.333333333336</v>
      </c>
      <c r="J33" s="11">
        <f>H33/2</f>
        <v>9714</v>
      </c>
      <c r="K33" s="42">
        <v>1096</v>
      </c>
      <c r="L33" s="42">
        <v>305</v>
      </c>
      <c r="M33" s="43">
        <v>119</v>
      </c>
    </row>
    <row r="34" spans="1:13" ht="18" hidden="1">
      <c r="A34" s="7">
        <v>40787</v>
      </c>
      <c r="B34" s="37">
        <f t="shared" si="7"/>
        <v>29761.166666666668</v>
      </c>
      <c r="C34" s="33">
        <f t="shared" si="9"/>
        <v>89283.5</v>
      </c>
      <c r="D34" s="33">
        <v>50</v>
      </c>
      <c r="E34" s="33">
        <v>4999</v>
      </c>
      <c r="F34" s="33">
        <v>0</v>
      </c>
      <c r="G34" s="33">
        <f t="shared" si="8"/>
        <v>5049</v>
      </c>
      <c r="H34" s="33">
        <f t="shared" si="10"/>
        <v>24477</v>
      </c>
      <c r="I34" s="33">
        <f t="shared" si="2"/>
        <v>64806.5</v>
      </c>
      <c r="J34" s="11">
        <f>H34/3</f>
        <v>8159</v>
      </c>
      <c r="K34" s="42">
        <v>1156</v>
      </c>
      <c r="L34" s="42">
        <v>340</v>
      </c>
      <c r="M34" s="43">
        <v>120</v>
      </c>
    </row>
    <row r="35" spans="1:13" ht="18" hidden="1">
      <c r="A35" s="7">
        <v>40817</v>
      </c>
      <c r="B35" s="37">
        <f t="shared" si="7"/>
        <v>29761.166666666668</v>
      </c>
      <c r="C35" s="33">
        <f t="shared" si="9"/>
        <v>119044.66666666667</v>
      </c>
      <c r="D35" s="33">
        <v>110</v>
      </c>
      <c r="E35" s="33">
        <v>8061</v>
      </c>
      <c r="F35" s="33">
        <v>0</v>
      </c>
      <c r="G35" s="33">
        <f t="shared" si="8"/>
        <v>8171</v>
      </c>
      <c r="H35" s="33">
        <f t="shared" si="10"/>
        <v>32648</v>
      </c>
      <c r="I35" s="33">
        <f t="shared" si="2"/>
        <v>86396.66666666667</v>
      </c>
      <c r="J35" s="11">
        <f>H35/4</f>
        <v>8162</v>
      </c>
      <c r="K35" s="42">
        <v>1458</v>
      </c>
      <c r="L35" s="42">
        <v>351</v>
      </c>
      <c r="M35" s="43">
        <v>122</v>
      </c>
    </row>
    <row r="36" spans="1:13" ht="18" hidden="1">
      <c r="A36" s="7">
        <v>40848</v>
      </c>
      <c r="B36" s="37">
        <f t="shared" si="7"/>
        <v>29761.166666666668</v>
      </c>
      <c r="C36" s="33">
        <f t="shared" si="9"/>
        <v>148805.83333333334</v>
      </c>
      <c r="D36" s="33">
        <v>170</v>
      </c>
      <c r="E36" s="33">
        <v>10438</v>
      </c>
      <c r="F36" s="33">
        <v>0</v>
      </c>
      <c r="G36" s="33">
        <f t="shared" si="8"/>
        <v>10608</v>
      </c>
      <c r="H36" s="33">
        <f t="shared" si="10"/>
        <v>43256</v>
      </c>
      <c r="I36" s="33">
        <f t="shared" si="2"/>
        <v>105549.83333333334</v>
      </c>
      <c r="J36" s="11">
        <f>H36/5</f>
        <v>8651.2</v>
      </c>
      <c r="K36" s="42">
        <v>1476</v>
      </c>
      <c r="L36" s="42">
        <v>338</v>
      </c>
      <c r="M36" s="43">
        <v>110</v>
      </c>
    </row>
    <row r="37" spans="1:13" ht="18" hidden="1">
      <c r="A37" s="7">
        <v>40878</v>
      </c>
      <c r="B37" s="37">
        <f t="shared" si="7"/>
        <v>29761.166666666668</v>
      </c>
      <c r="C37" s="33">
        <f t="shared" si="9"/>
        <v>178567</v>
      </c>
      <c r="D37" s="33">
        <v>0</v>
      </c>
      <c r="E37" s="33">
        <v>8615</v>
      </c>
      <c r="F37" s="33">
        <v>0</v>
      </c>
      <c r="G37" s="33">
        <f t="shared" si="8"/>
        <v>8615</v>
      </c>
      <c r="H37" s="33">
        <f t="shared" si="10"/>
        <v>51871</v>
      </c>
      <c r="I37" s="33">
        <f t="shared" si="2"/>
        <v>126696</v>
      </c>
      <c r="J37" s="11">
        <f>H37/6</f>
        <v>8645.166666666666</v>
      </c>
      <c r="K37" s="42">
        <v>1525</v>
      </c>
      <c r="L37" s="42">
        <v>314</v>
      </c>
      <c r="M37" s="43">
        <v>112</v>
      </c>
    </row>
    <row r="38" spans="1:13" ht="18" hidden="1">
      <c r="A38" s="7">
        <v>40909</v>
      </c>
      <c r="B38" s="37">
        <f t="shared" si="7"/>
        <v>29761.166666666668</v>
      </c>
      <c r="C38" s="33">
        <f t="shared" si="9"/>
        <v>208328.16666666666</v>
      </c>
      <c r="D38" s="33">
        <v>100</v>
      </c>
      <c r="E38" s="33">
        <v>3415</v>
      </c>
      <c r="F38" s="33">
        <v>0</v>
      </c>
      <c r="G38" s="33">
        <f t="shared" si="8"/>
        <v>3515</v>
      </c>
      <c r="H38" s="33">
        <f t="shared" si="10"/>
        <v>55386</v>
      </c>
      <c r="I38" s="33">
        <f t="shared" si="2"/>
        <v>152942.16666666666</v>
      </c>
      <c r="J38" s="11">
        <f>H38/7</f>
        <v>7912.285714285715</v>
      </c>
      <c r="K38" s="42">
        <v>1489</v>
      </c>
      <c r="L38" s="42">
        <v>322</v>
      </c>
      <c r="M38" s="43">
        <v>105</v>
      </c>
    </row>
    <row r="39" spans="1:13" ht="18" hidden="1">
      <c r="A39" s="7">
        <v>40940</v>
      </c>
      <c r="B39" s="37">
        <f t="shared" si="7"/>
        <v>29761.166666666668</v>
      </c>
      <c r="C39" s="33">
        <f t="shared" si="9"/>
        <v>238089.3333333333</v>
      </c>
      <c r="D39" s="33">
        <v>50</v>
      </c>
      <c r="E39" s="33">
        <v>4832</v>
      </c>
      <c r="F39" s="33">
        <v>0</v>
      </c>
      <c r="G39" s="33">
        <f t="shared" si="8"/>
        <v>4882</v>
      </c>
      <c r="H39" s="33">
        <f t="shared" si="10"/>
        <v>60268</v>
      </c>
      <c r="I39" s="33">
        <f t="shared" si="2"/>
        <v>177821.3333333333</v>
      </c>
      <c r="J39" s="11">
        <f>H39/8</f>
        <v>7533.5</v>
      </c>
      <c r="K39" s="42">
        <v>1431</v>
      </c>
      <c r="L39" s="42">
        <v>303</v>
      </c>
      <c r="M39" s="43">
        <v>106</v>
      </c>
    </row>
    <row r="40" spans="1:13" ht="18" hidden="1">
      <c r="A40" s="7">
        <v>40969</v>
      </c>
      <c r="B40" s="37">
        <f t="shared" si="7"/>
        <v>29761.166666666668</v>
      </c>
      <c r="C40" s="33">
        <f t="shared" si="9"/>
        <v>267850.5</v>
      </c>
      <c r="D40" s="33">
        <v>145</v>
      </c>
      <c r="E40" s="33">
        <v>4706</v>
      </c>
      <c r="F40" s="33">
        <v>0</v>
      </c>
      <c r="G40" s="33">
        <f t="shared" si="8"/>
        <v>4851</v>
      </c>
      <c r="H40" s="33">
        <f t="shared" si="10"/>
        <v>65119</v>
      </c>
      <c r="I40" s="33">
        <f aca="true" t="shared" si="11" ref="I40:I59">C40-H40</f>
        <v>202731.5</v>
      </c>
      <c r="J40" s="11">
        <f>H40/9</f>
        <v>7235.444444444444</v>
      </c>
      <c r="K40" s="42">
        <v>1427</v>
      </c>
      <c r="L40" s="42">
        <v>314</v>
      </c>
      <c r="M40" s="43">
        <v>98</v>
      </c>
    </row>
    <row r="41" spans="1:13" ht="18" hidden="1">
      <c r="A41" s="7">
        <v>41000</v>
      </c>
      <c r="B41" s="37">
        <f t="shared" si="7"/>
        <v>29761.166666666668</v>
      </c>
      <c r="C41" s="33">
        <f t="shared" si="9"/>
        <v>297611.6666666667</v>
      </c>
      <c r="D41" s="33">
        <v>0</v>
      </c>
      <c r="E41" s="33">
        <v>11049</v>
      </c>
      <c r="F41" s="33">
        <v>0</v>
      </c>
      <c r="G41" s="33">
        <f t="shared" si="8"/>
        <v>11049</v>
      </c>
      <c r="H41" s="33">
        <f t="shared" si="10"/>
        <v>76168</v>
      </c>
      <c r="I41" s="33">
        <f t="shared" si="11"/>
        <v>221443.6666666667</v>
      </c>
      <c r="J41" s="11">
        <f>H41/10</f>
        <v>7616.8</v>
      </c>
      <c r="K41" s="42">
        <v>1503</v>
      </c>
      <c r="L41" s="42">
        <v>296</v>
      </c>
      <c r="M41" s="43">
        <v>49</v>
      </c>
    </row>
    <row r="42" spans="1:13" ht="18" hidden="1">
      <c r="A42" s="7">
        <v>41030</v>
      </c>
      <c r="B42" s="37">
        <f t="shared" si="7"/>
        <v>29761.166666666668</v>
      </c>
      <c r="C42" s="33">
        <f t="shared" si="9"/>
        <v>327372.8333333334</v>
      </c>
      <c r="D42" s="33">
        <v>255</v>
      </c>
      <c r="E42" s="33">
        <v>8808</v>
      </c>
      <c r="F42" s="33">
        <v>0</v>
      </c>
      <c r="G42" s="33">
        <f t="shared" si="8"/>
        <v>9063</v>
      </c>
      <c r="H42" s="33">
        <f t="shared" si="10"/>
        <v>85231</v>
      </c>
      <c r="I42" s="33">
        <f t="shared" si="11"/>
        <v>242141.83333333337</v>
      </c>
      <c r="J42" s="11">
        <f>H42/11</f>
        <v>7748.272727272727</v>
      </c>
      <c r="K42" s="42">
        <v>1322</v>
      </c>
      <c r="L42" s="42">
        <v>243</v>
      </c>
      <c r="M42" s="43">
        <v>0</v>
      </c>
    </row>
    <row r="43" spans="1:13" ht="18.75" hidden="1" thickBot="1">
      <c r="A43" s="7">
        <v>41061</v>
      </c>
      <c r="B43" s="39">
        <f t="shared" si="7"/>
        <v>29761.166666666668</v>
      </c>
      <c r="C43" s="34">
        <f t="shared" si="9"/>
        <v>357134.00000000006</v>
      </c>
      <c r="D43" s="34">
        <v>345</v>
      </c>
      <c r="E43" s="34">
        <v>13254</v>
      </c>
      <c r="F43" s="34">
        <v>0</v>
      </c>
      <c r="G43" s="34">
        <f t="shared" si="8"/>
        <v>13599</v>
      </c>
      <c r="H43" s="34">
        <f t="shared" si="10"/>
        <v>98830</v>
      </c>
      <c r="I43" s="34">
        <f t="shared" si="11"/>
        <v>258304.00000000006</v>
      </c>
      <c r="J43" s="12">
        <f>H43/12</f>
        <v>8235.833333333334</v>
      </c>
      <c r="K43" s="40">
        <v>1338</v>
      </c>
      <c r="L43" s="40">
        <v>286</v>
      </c>
      <c r="M43" s="41">
        <v>0</v>
      </c>
    </row>
    <row r="44" spans="1:13" ht="15" hidden="1">
      <c r="A44" s="7">
        <v>41091</v>
      </c>
      <c r="B44" s="37">
        <f aca="true" t="shared" si="12" ref="B44:B55">$B$86/12</f>
        <v>53885.333333333336</v>
      </c>
      <c r="C44" s="33">
        <f>B44</f>
        <v>53885.333333333336</v>
      </c>
      <c r="D44" s="33">
        <v>385</v>
      </c>
      <c r="E44" s="33">
        <v>12306</v>
      </c>
      <c r="F44" s="33">
        <v>0</v>
      </c>
      <c r="G44" s="33">
        <f t="shared" si="8"/>
        <v>12691</v>
      </c>
      <c r="H44" s="33">
        <f>G44</f>
        <v>12691</v>
      </c>
      <c r="I44" s="33">
        <f t="shared" si="11"/>
        <v>41194.333333333336</v>
      </c>
      <c r="J44" s="33">
        <f>H44/1</f>
        <v>12691</v>
      </c>
      <c r="K44" s="42">
        <v>1271</v>
      </c>
      <c r="L44" s="42">
        <v>274</v>
      </c>
      <c r="M44" s="43"/>
    </row>
    <row r="45" spans="1:13" ht="15" hidden="1">
      <c r="A45" s="7">
        <v>41122</v>
      </c>
      <c r="B45" s="37">
        <f t="shared" si="12"/>
        <v>53885.333333333336</v>
      </c>
      <c r="C45" s="33">
        <f aca="true" t="shared" si="13" ref="C45:C55">C44+B45</f>
        <v>107770.66666666667</v>
      </c>
      <c r="D45" s="33">
        <v>370</v>
      </c>
      <c r="E45" s="33">
        <v>17126</v>
      </c>
      <c r="F45" s="33">
        <v>0</v>
      </c>
      <c r="G45" s="33">
        <f t="shared" si="8"/>
        <v>17496</v>
      </c>
      <c r="H45" s="33">
        <f aca="true" t="shared" si="14" ref="H45:H55">H44+G45</f>
        <v>30187</v>
      </c>
      <c r="I45" s="33">
        <f t="shared" si="11"/>
        <v>77583.66666666667</v>
      </c>
      <c r="J45" s="33">
        <f>H45/2</f>
        <v>15093.5</v>
      </c>
      <c r="K45" s="42">
        <v>1329</v>
      </c>
      <c r="L45" s="42">
        <v>309</v>
      </c>
      <c r="M45" s="43"/>
    </row>
    <row r="46" spans="1:13" ht="15" hidden="1">
      <c r="A46" s="7">
        <v>41153</v>
      </c>
      <c r="B46" s="37">
        <f t="shared" si="12"/>
        <v>53885.333333333336</v>
      </c>
      <c r="C46" s="33">
        <f t="shared" si="13"/>
        <v>161656</v>
      </c>
      <c r="D46" s="33">
        <v>245</v>
      </c>
      <c r="E46" s="33">
        <v>13665</v>
      </c>
      <c r="F46" s="33">
        <v>0</v>
      </c>
      <c r="G46" s="33">
        <f t="shared" si="8"/>
        <v>13910</v>
      </c>
      <c r="H46" s="33">
        <f t="shared" si="14"/>
        <v>44097</v>
      </c>
      <c r="I46" s="33">
        <f t="shared" si="11"/>
        <v>117559</v>
      </c>
      <c r="J46" s="33">
        <f>H46/3</f>
        <v>14699</v>
      </c>
      <c r="K46" s="42">
        <v>1292</v>
      </c>
      <c r="L46" s="42">
        <v>355</v>
      </c>
      <c r="M46" s="43"/>
    </row>
    <row r="47" spans="1:13" ht="15" hidden="1">
      <c r="A47" s="7">
        <v>41183</v>
      </c>
      <c r="B47" s="37">
        <f t="shared" si="12"/>
        <v>53885.333333333336</v>
      </c>
      <c r="C47" s="33">
        <f t="shared" si="13"/>
        <v>215541.33333333334</v>
      </c>
      <c r="D47" s="33">
        <v>480</v>
      </c>
      <c r="E47" s="33">
        <v>17201</v>
      </c>
      <c r="F47" s="33">
        <v>0</v>
      </c>
      <c r="G47" s="33">
        <f t="shared" si="8"/>
        <v>17681</v>
      </c>
      <c r="H47" s="33">
        <f t="shared" si="14"/>
        <v>61778</v>
      </c>
      <c r="I47" s="33">
        <f t="shared" si="11"/>
        <v>153763.33333333334</v>
      </c>
      <c r="J47" s="33">
        <f>H47/4</f>
        <v>15444.5</v>
      </c>
      <c r="K47" s="42">
        <v>1297</v>
      </c>
      <c r="L47" s="42">
        <v>315</v>
      </c>
      <c r="M47" s="43"/>
    </row>
    <row r="48" spans="1:13" ht="15" hidden="1">
      <c r="A48" s="7">
        <v>41214</v>
      </c>
      <c r="B48" s="37">
        <f t="shared" si="12"/>
        <v>53885.333333333336</v>
      </c>
      <c r="C48" s="33">
        <f t="shared" si="13"/>
        <v>269426.6666666667</v>
      </c>
      <c r="D48" s="33">
        <v>100</v>
      </c>
      <c r="E48" s="33">
        <v>16570</v>
      </c>
      <c r="F48" s="33">
        <v>0</v>
      </c>
      <c r="G48" s="33">
        <f t="shared" si="8"/>
        <v>16670</v>
      </c>
      <c r="H48" s="33">
        <f t="shared" si="14"/>
        <v>78448</v>
      </c>
      <c r="I48" s="33">
        <f t="shared" si="11"/>
        <v>190978.6666666667</v>
      </c>
      <c r="J48" s="33">
        <f>H48/5</f>
        <v>15689.6</v>
      </c>
      <c r="K48" s="42">
        <v>1292</v>
      </c>
      <c r="L48" s="42">
        <v>310</v>
      </c>
      <c r="M48" s="43"/>
    </row>
    <row r="49" spans="1:13" ht="15" hidden="1">
      <c r="A49" s="7">
        <v>41244</v>
      </c>
      <c r="B49" s="37">
        <f t="shared" si="12"/>
        <v>53885.333333333336</v>
      </c>
      <c r="C49" s="33">
        <f t="shared" si="13"/>
        <v>323312</v>
      </c>
      <c r="D49" s="33">
        <v>50</v>
      </c>
      <c r="E49" s="33">
        <v>16365</v>
      </c>
      <c r="F49" s="33">
        <v>0</v>
      </c>
      <c r="G49" s="33">
        <f t="shared" si="8"/>
        <v>16415</v>
      </c>
      <c r="H49" s="33">
        <f t="shared" si="14"/>
        <v>94863</v>
      </c>
      <c r="I49" s="33">
        <f t="shared" si="11"/>
        <v>228449</v>
      </c>
      <c r="J49" s="33">
        <f>H49/6</f>
        <v>15810.5</v>
      </c>
      <c r="K49" s="42"/>
      <c r="L49" s="42"/>
      <c r="M49" s="43"/>
    </row>
    <row r="50" spans="1:13" ht="15" hidden="1">
      <c r="A50" s="7">
        <v>41275</v>
      </c>
      <c r="B50" s="37">
        <f t="shared" si="12"/>
        <v>53885.333333333336</v>
      </c>
      <c r="C50" s="33">
        <f t="shared" si="13"/>
        <v>377197.3333333333</v>
      </c>
      <c r="D50" s="33">
        <v>0</v>
      </c>
      <c r="E50" s="33">
        <v>17799</v>
      </c>
      <c r="F50" s="33">
        <v>0</v>
      </c>
      <c r="G50" s="33">
        <f t="shared" si="8"/>
        <v>17799</v>
      </c>
      <c r="H50" s="33">
        <f t="shared" si="14"/>
        <v>112662</v>
      </c>
      <c r="I50" s="33">
        <f t="shared" si="11"/>
        <v>264535.3333333333</v>
      </c>
      <c r="J50" s="33">
        <f>H50/7</f>
        <v>16094.57142857143</v>
      </c>
      <c r="K50" s="42"/>
      <c r="L50" s="42"/>
      <c r="M50" s="43"/>
    </row>
    <row r="51" spans="1:13" ht="15" hidden="1">
      <c r="A51" s="7">
        <v>41306</v>
      </c>
      <c r="B51" s="37">
        <f t="shared" si="12"/>
        <v>53885.333333333336</v>
      </c>
      <c r="C51" s="33">
        <f t="shared" si="13"/>
        <v>431082.6666666666</v>
      </c>
      <c r="D51" s="33">
        <v>540</v>
      </c>
      <c r="E51" s="33">
        <v>15231</v>
      </c>
      <c r="F51" s="33">
        <v>0</v>
      </c>
      <c r="G51" s="33">
        <f t="shared" si="8"/>
        <v>15771</v>
      </c>
      <c r="H51" s="33">
        <f t="shared" si="14"/>
        <v>128433</v>
      </c>
      <c r="I51" s="33">
        <f t="shared" si="11"/>
        <v>302649.6666666666</v>
      </c>
      <c r="J51" s="33">
        <f>H51/8</f>
        <v>16054.125</v>
      </c>
      <c r="K51" s="42"/>
      <c r="L51" s="42"/>
      <c r="M51" s="43"/>
    </row>
    <row r="52" spans="1:13" ht="15" hidden="1">
      <c r="A52" s="7">
        <v>41334</v>
      </c>
      <c r="B52" s="37">
        <f t="shared" si="12"/>
        <v>53885.333333333336</v>
      </c>
      <c r="C52" s="33">
        <f t="shared" si="13"/>
        <v>484967.99999999994</v>
      </c>
      <c r="D52" s="33">
        <v>50</v>
      </c>
      <c r="E52" s="33">
        <v>18757</v>
      </c>
      <c r="F52" s="33">
        <v>0</v>
      </c>
      <c r="G52" s="33">
        <f t="shared" si="8"/>
        <v>18807</v>
      </c>
      <c r="H52" s="33">
        <f t="shared" si="14"/>
        <v>147240</v>
      </c>
      <c r="I52" s="33">
        <f t="shared" si="11"/>
        <v>337727.99999999994</v>
      </c>
      <c r="J52" s="33">
        <f>H52/9</f>
        <v>16360</v>
      </c>
      <c r="K52" s="42"/>
      <c r="L52" s="42"/>
      <c r="M52" s="43"/>
    </row>
    <row r="53" spans="1:13" ht="15" hidden="1">
      <c r="A53" s="7">
        <v>41365</v>
      </c>
      <c r="B53" s="37">
        <f t="shared" si="12"/>
        <v>53885.333333333336</v>
      </c>
      <c r="C53" s="33">
        <f t="shared" si="13"/>
        <v>538853.3333333333</v>
      </c>
      <c r="D53" s="33">
        <v>275</v>
      </c>
      <c r="E53" s="33">
        <v>17046</v>
      </c>
      <c r="F53" s="33">
        <v>0</v>
      </c>
      <c r="G53" s="33">
        <f t="shared" si="8"/>
        <v>17321</v>
      </c>
      <c r="H53" s="33">
        <f t="shared" si="14"/>
        <v>164561</v>
      </c>
      <c r="I53" s="33">
        <f t="shared" si="11"/>
        <v>374292.33333333326</v>
      </c>
      <c r="J53" s="33">
        <f>H53/10</f>
        <v>16456.1</v>
      </c>
      <c r="K53" s="42"/>
      <c r="L53" s="42"/>
      <c r="M53" s="43"/>
    </row>
    <row r="54" spans="1:13" ht="15" hidden="1">
      <c r="A54" s="7">
        <v>41395</v>
      </c>
      <c r="B54" s="37">
        <f t="shared" si="12"/>
        <v>53885.333333333336</v>
      </c>
      <c r="C54" s="33">
        <f t="shared" si="13"/>
        <v>592738.6666666666</v>
      </c>
      <c r="D54" s="33">
        <v>660</v>
      </c>
      <c r="E54" s="33">
        <v>19484</v>
      </c>
      <c r="F54" s="33">
        <v>0</v>
      </c>
      <c r="G54" s="33">
        <f t="shared" si="8"/>
        <v>20144</v>
      </c>
      <c r="H54" s="33">
        <f t="shared" si="14"/>
        <v>184705</v>
      </c>
      <c r="I54" s="33">
        <f t="shared" si="11"/>
        <v>408033.6666666666</v>
      </c>
      <c r="J54" s="33">
        <f>H54/11</f>
        <v>16791.363636363636</v>
      </c>
      <c r="K54" s="42"/>
      <c r="L54" s="42"/>
      <c r="M54" s="43"/>
    </row>
    <row r="55" spans="1:13" ht="15.75" hidden="1" thickBot="1">
      <c r="A55" s="7">
        <v>41426</v>
      </c>
      <c r="B55" s="39">
        <f t="shared" si="12"/>
        <v>53885.333333333336</v>
      </c>
      <c r="C55" s="34">
        <f t="shared" si="13"/>
        <v>646624</v>
      </c>
      <c r="D55" s="34">
        <v>245</v>
      </c>
      <c r="E55" s="34">
        <v>20955</v>
      </c>
      <c r="F55" s="34">
        <v>0</v>
      </c>
      <c r="G55" s="34">
        <f t="shared" si="8"/>
        <v>21200</v>
      </c>
      <c r="H55" s="34">
        <f t="shared" si="14"/>
        <v>205905</v>
      </c>
      <c r="I55" s="34">
        <f t="shared" si="11"/>
        <v>440719</v>
      </c>
      <c r="J55" s="34">
        <f>H55/12</f>
        <v>17158.75</v>
      </c>
      <c r="K55" s="40"/>
      <c r="L55" s="40"/>
      <c r="M55" s="41"/>
    </row>
    <row r="56" spans="1:13" ht="15" hidden="1">
      <c r="A56" s="7">
        <v>41456</v>
      </c>
      <c r="B56" s="37">
        <f>$B$91/24</f>
        <v>39207.125</v>
      </c>
      <c r="C56" s="33">
        <f>B56</f>
        <v>39207.125</v>
      </c>
      <c r="D56" s="33">
        <v>240</v>
      </c>
      <c r="E56" s="33">
        <v>27312</v>
      </c>
      <c r="F56" s="33">
        <v>0</v>
      </c>
      <c r="G56" s="33">
        <f t="shared" si="8"/>
        <v>27552</v>
      </c>
      <c r="H56" s="33">
        <f>G56</f>
        <v>27552</v>
      </c>
      <c r="I56" s="33">
        <f t="shared" si="11"/>
        <v>11655.125</v>
      </c>
      <c r="J56" s="33">
        <f>H56</f>
        <v>27552</v>
      </c>
      <c r="K56" s="42">
        <v>1088</v>
      </c>
      <c r="L56" s="42">
        <v>338</v>
      </c>
      <c r="M56" s="43"/>
    </row>
    <row r="57" spans="1:13" ht="15" hidden="1">
      <c r="A57" s="7">
        <v>41487</v>
      </c>
      <c r="B57" s="37">
        <f aca="true" t="shared" si="15" ref="B57:B79">$B$91/24</f>
        <v>39207.125</v>
      </c>
      <c r="C57" s="33">
        <f aca="true" t="shared" si="16" ref="C57:C79">C56+B57</f>
        <v>78414.25</v>
      </c>
      <c r="D57" s="33">
        <v>150</v>
      </c>
      <c r="E57" s="33">
        <v>19523</v>
      </c>
      <c r="F57" s="33">
        <v>0</v>
      </c>
      <c r="G57" s="33">
        <f t="shared" si="8"/>
        <v>19673</v>
      </c>
      <c r="H57" s="33">
        <f aca="true" t="shared" si="17" ref="H57:H62">G57+H56</f>
        <v>47225</v>
      </c>
      <c r="I57" s="33">
        <f t="shared" si="11"/>
        <v>31189.25</v>
      </c>
      <c r="J57" s="33">
        <f>H57/2</f>
        <v>23612.5</v>
      </c>
      <c r="K57" s="42">
        <v>1088</v>
      </c>
      <c r="L57" s="42">
        <v>366</v>
      </c>
      <c r="M57" s="43"/>
    </row>
    <row r="58" spans="1:13" ht="15" hidden="1">
      <c r="A58" s="7">
        <v>41518</v>
      </c>
      <c r="B58" s="37">
        <f t="shared" si="15"/>
        <v>39207.125</v>
      </c>
      <c r="C58" s="33">
        <f t="shared" si="16"/>
        <v>117621.375</v>
      </c>
      <c r="D58" s="33">
        <v>50</v>
      </c>
      <c r="E58" s="33">
        <v>22156</v>
      </c>
      <c r="F58" s="33">
        <v>0</v>
      </c>
      <c r="G58" s="33">
        <f t="shared" si="8"/>
        <v>22206</v>
      </c>
      <c r="H58" s="33">
        <f t="shared" si="17"/>
        <v>69431</v>
      </c>
      <c r="I58" s="33">
        <f t="shared" si="11"/>
        <v>48190.375</v>
      </c>
      <c r="J58" s="33">
        <f>H58/3</f>
        <v>23143.666666666668</v>
      </c>
      <c r="K58" s="42">
        <v>1042</v>
      </c>
      <c r="L58" s="42">
        <v>323</v>
      </c>
      <c r="M58" s="43"/>
    </row>
    <row r="59" spans="1:13" ht="15" hidden="1">
      <c r="A59" s="7">
        <v>41548</v>
      </c>
      <c r="B59" s="37">
        <f t="shared" si="15"/>
        <v>39207.125</v>
      </c>
      <c r="C59" s="33">
        <f t="shared" si="16"/>
        <v>156828.5</v>
      </c>
      <c r="D59" s="33">
        <v>220</v>
      </c>
      <c r="E59" s="33">
        <v>17298.31</v>
      </c>
      <c r="F59" s="33">
        <v>0</v>
      </c>
      <c r="G59" s="33">
        <f t="shared" si="8"/>
        <v>17518.31</v>
      </c>
      <c r="H59" s="33">
        <f t="shared" si="17"/>
        <v>86949.31</v>
      </c>
      <c r="I59" s="33">
        <f t="shared" si="11"/>
        <v>69879.19</v>
      </c>
      <c r="J59" s="33">
        <f>H59/4</f>
        <v>21737.3275</v>
      </c>
      <c r="K59" s="42">
        <v>1003</v>
      </c>
      <c r="L59" s="42">
        <v>352</v>
      </c>
      <c r="M59" s="43"/>
    </row>
    <row r="60" spans="1:13" ht="15" hidden="1">
      <c r="A60" s="7">
        <v>41579</v>
      </c>
      <c r="B60" s="37">
        <f t="shared" si="15"/>
        <v>39207.125</v>
      </c>
      <c r="C60" s="33">
        <f t="shared" si="16"/>
        <v>196035.625</v>
      </c>
      <c r="D60" s="33">
        <v>378</v>
      </c>
      <c r="E60" s="33">
        <v>20344.37</v>
      </c>
      <c r="F60" s="33">
        <v>0</v>
      </c>
      <c r="G60" s="33">
        <f t="shared" si="8"/>
        <v>20722.37</v>
      </c>
      <c r="H60" s="33">
        <f t="shared" si="17"/>
        <v>107671.68</v>
      </c>
      <c r="I60" s="33">
        <f aca="true" t="shared" si="18" ref="I60:I65">C60-H60</f>
        <v>88363.945</v>
      </c>
      <c r="J60" s="33">
        <f>H60/5</f>
        <v>21534.336</v>
      </c>
      <c r="K60" s="42">
        <v>954</v>
      </c>
      <c r="L60" s="42">
        <v>364</v>
      </c>
      <c r="M60" s="43"/>
    </row>
    <row r="61" spans="1:13" ht="15" hidden="1">
      <c r="A61" s="7">
        <v>41609</v>
      </c>
      <c r="B61" s="37">
        <f t="shared" si="15"/>
        <v>39207.125</v>
      </c>
      <c r="C61" s="33">
        <f t="shared" si="16"/>
        <v>235242.75</v>
      </c>
      <c r="D61" s="33">
        <v>325</v>
      </c>
      <c r="E61" s="33">
        <v>22070.85</v>
      </c>
      <c r="F61" s="33">
        <v>0</v>
      </c>
      <c r="G61" s="33">
        <f t="shared" si="8"/>
        <v>22395.85</v>
      </c>
      <c r="H61" s="33">
        <f t="shared" si="17"/>
        <v>130067.53</v>
      </c>
      <c r="I61" s="33">
        <f t="shared" si="18"/>
        <v>105175.22</v>
      </c>
      <c r="J61" s="33">
        <f>H61/6</f>
        <v>21677.921666666665</v>
      </c>
      <c r="K61" s="42">
        <v>943</v>
      </c>
      <c r="L61" s="42">
        <v>315</v>
      </c>
      <c r="M61" s="43"/>
    </row>
    <row r="62" spans="1:13" ht="15" hidden="1">
      <c r="A62" s="7">
        <v>41640</v>
      </c>
      <c r="B62" s="37">
        <f t="shared" si="15"/>
        <v>39207.125</v>
      </c>
      <c r="C62" s="33">
        <f t="shared" si="16"/>
        <v>274449.875</v>
      </c>
      <c r="D62" s="33">
        <v>395</v>
      </c>
      <c r="E62" s="33">
        <v>24182.95</v>
      </c>
      <c r="F62" s="33">
        <v>0</v>
      </c>
      <c r="G62" s="33">
        <f t="shared" si="8"/>
        <v>24577.95</v>
      </c>
      <c r="H62" s="33">
        <f t="shared" si="17"/>
        <v>154645.48</v>
      </c>
      <c r="I62" s="33">
        <f t="shared" si="18"/>
        <v>119804.39499999999</v>
      </c>
      <c r="J62" s="33">
        <f>H62/7</f>
        <v>22092.21142857143</v>
      </c>
      <c r="K62" s="42">
        <v>977</v>
      </c>
      <c r="L62" s="42">
        <v>396</v>
      </c>
      <c r="M62" s="43"/>
    </row>
    <row r="63" spans="1:13" ht="15" hidden="1">
      <c r="A63" s="7">
        <v>41671</v>
      </c>
      <c r="B63" s="37">
        <f t="shared" si="15"/>
        <v>39207.125</v>
      </c>
      <c r="C63" s="33">
        <f t="shared" si="16"/>
        <v>313657</v>
      </c>
      <c r="D63" s="33">
        <v>409</v>
      </c>
      <c r="E63" s="33">
        <v>27169.4</v>
      </c>
      <c r="F63" s="33">
        <v>0</v>
      </c>
      <c r="G63" s="33">
        <f t="shared" si="8"/>
        <v>27578.4</v>
      </c>
      <c r="H63" s="33">
        <f aca="true" t="shared" si="19" ref="H63:H68">G63+H62</f>
        <v>182223.88</v>
      </c>
      <c r="I63" s="33">
        <f t="shared" si="18"/>
        <v>131433.12</v>
      </c>
      <c r="J63" s="33">
        <f>H63/8</f>
        <v>22777.985</v>
      </c>
      <c r="K63" s="42">
        <v>962</v>
      </c>
      <c r="L63" s="42">
        <v>435</v>
      </c>
      <c r="M63" s="43"/>
    </row>
    <row r="64" spans="1:13" ht="15" hidden="1">
      <c r="A64" s="7">
        <v>41699</v>
      </c>
      <c r="B64" s="37">
        <f t="shared" si="15"/>
        <v>39207.125</v>
      </c>
      <c r="C64" s="33">
        <f t="shared" si="16"/>
        <v>352864.125</v>
      </c>
      <c r="D64" s="33">
        <v>80</v>
      </c>
      <c r="E64" s="33">
        <v>30217.66</v>
      </c>
      <c r="F64" s="33">
        <v>0</v>
      </c>
      <c r="G64" s="33">
        <f t="shared" si="8"/>
        <v>30297.66</v>
      </c>
      <c r="H64" s="33">
        <f t="shared" si="19"/>
        <v>212521.54</v>
      </c>
      <c r="I64" s="33">
        <f t="shared" si="18"/>
        <v>140342.585</v>
      </c>
      <c r="J64" s="33">
        <f>H64/9</f>
        <v>23613.504444444447</v>
      </c>
      <c r="K64" s="42">
        <v>937</v>
      </c>
      <c r="L64" s="42">
        <v>505</v>
      </c>
      <c r="M64" s="43"/>
    </row>
    <row r="65" spans="1:13" ht="15" hidden="1">
      <c r="A65" s="7">
        <v>41730</v>
      </c>
      <c r="B65" s="37">
        <f t="shared" si="15"/>
        <v>39207.125</v>
      </c>
      <c r="C65" s="33">
        <f t="shared" si="16"/>
        <v>392071.25</v>
      </c>
      <c r="D65" s="33">
        <v>160</v>
      </c>
      <c r="E65" s="33">
        <v>25732.69</v>
      </c>
      <c r="F65" s="33">
        <v>0</v>
      </c>
      <c r="G65" s="33">
        <f t="shared" si="8"/>
        <v>25892.69</v>
      </c>
      <c r="H65" s="33">
        <f t="shared" si="19"/>
        <v>238414.23</v>
      </c>
      <c r="I65" s="33">
        <f t="shared" si="18"/>
        <v>153657.02</v>
      </c>
      <c r="J65" s="33">
        <f>H65/10</f>
        <v>23841.423000000003</v>
      </c>
      <c r="K65" s="42">
        <v>923</v>
      </c>
      <c r="L65" s="42">
        <v>440</v>
      </c>
      <c r="M65" s="43"/>
    </row>
    <row r="66" spans="1:13" ht="15" hidden="1">
      <c r="A66" s="7">
        <v>41760</v>
      </c>
      <c r="B66" s="37">
        <f t="shared" si="15"/>
        <v>39207.125</v>
      </c>
      <c r="C66" s="33">
        <f t="shared" si="16"/>
        <v>431278.375</v>
      </c>
      <c r="D66" s="33">
        <v>0</v>
      </c>
      <c r="E66" s="33">
        <v>22296.22</v>
      </c>
      <c r="F66" s="33">
        <v>0</v>
      </c>
      <c r="G66" s="33">
        <f t="shared" si="8"/>
        <v>22296.22</v>
      </c>
      <c r="H66" s="33">
        <f t="shared" si="19"/>
        <v>260710.45</v>
      </c>
      <c r="I66" s="33">
        <f aca="true" t="shared" si="20" ref="I66:I71">C66-H66</f>
        <v>170567.925</v>
      </c>
      <c r="J66" s="33">
        <f>H66/11</f>
        <v>23700.95</v>
      </c>
      <c r="K66" s="42">
        <v>871</v>
      </c>
      <c r="L66" s="42">
        <v>513</v>
      </c>
      <c r="M66" s="43"/>
    </row>
    <row r="67" spans="1:13" ht="15" hidden="1">
      <c r="A67" s="7">
        <v>41791</v>
      </c>
      <c r="B67" s="37">
        <f t="shared" si="15"/>
        <v>39207.125</v>
      </c>
      <c r="C67" s="33">
        <f t="shared" si="16"/>
        <v>470485.5</v>
      </c>
      <c r="D67" s="33">
        <v>0</v>
      </c>
      <c r="E67" s="33">
        <v>37716</v>
      </c>
      <c r="F67" s="33">
        <v>0</v>
      </c>
      <c r="G67" s="33">
        <f t="shared" si="8"/>
        <v>37716</v>
      </c>
      <c r="H67" s="33">
        <f t="shared" si="19"/>
        <v>298426.45</v>
      </c>
      <c r="I67" s="33">
        <f t="shared" si="20"/>
        <v>172059.05</v>
      </c>
      <c r="J67" s="33">
        <f>H67/12</f>
        <v>24868.870833333334</v>
      </c>
      <c r="K67" s="42">
        <v>853</v>
      </c>
      <c r="L67" s="42">
        <v>484</v>
      </c>
      <c r="M67" s="43"/>
    </row>
    <row r="68" spans="1:13" ht="15">
      <c r="A68" s="7">
        <v>41821</v>
      </c>
      <c r="B68" s="37">
        <f t="shared" si="15"/>
        <v>39207.125</v>
      </c>
      <c r="C68" s="33">
        <f t="shared" si="16"/>
        <v>509692.625</v>
      </c>
      <c r="D68" s="33">
        <v>270</v>
      </c>
      <c r="E68" s="33">
        <v>32269</v>
      </c>
      <c r="F68" s="33">
        <v>0</v>
      </c>
      <c r="G68" s="33">
        <f t="shared" si="8"/>
        <v>32539</v>
      </c>
      <c r="H68" s="33">
        <f t="shared" si="19"/>
        <v>330965.45</v>
      </c>
      <c r="I68" s="33">
        <f t="shared" si="20"/>
        <v>178727.175</v>
      </c>
      <c r="J68" s="33">
        <f>H68/13</f>
        <v>25458.88076923077</v>
      </c>
      <c r="K68" s="42">
        <v>837</v>
      </c>
      <c r="L68" s="42">
        <v>510</v>
      </c>
      <c r="M68" s="43"/>
    </row>
    <row r="69" spans="1:13" ht="15">
      <c r="A69" s="7">
        <v>41852</v>
      </c>
      <c r="B69" s="37">
        <f t="shared" si="15"/>
        <v>39207.125</v>
      </c>
      <c r="C69" s="33">
        <f t="shared" si="16"/>
        <v>548899.75</v>
      </c>
      <c r="D69" s="33">
        <v>65</v>
      </c>
      <c r="E69" s="33">
        <v>29802</v>
      </c>
      <c r="F69" s="33">
        <v>0</v>
      </c>
      <c r="G69" s="33">
        <f t="shared" si="8"/>
        <v>29867</v>
      </c>
      <c r="H69" s="33">
        <f aca="true" t="shared" si="21" ref="H69:H74">G69+H68</f>
        <v>360832.45</v>
      </c>
      <c r="I69" s="33">
        <f t="shared" si="20"/>
        <v>188067.3</v>
      </c>
      <c r="J69" s="33">
        <f>H69/14</f>
        <v>25773.74642857143</v>
      </c>
      <c r="K69" s="42">
        <v>861</v>
      </c>
      <c r="L69" s="42">
        <v>548</v>
      </c>
      <c r="M69" s="43"/>
    </row>
    <row r="70" spans="1:13" ht="15">
      <c r="A70" s="7">
        <v>41883</v>
      </c>
      <c r="B70" s="37">
        <f t="shared" si="15"/>
        <v>39207.125</v>
      </c>
      <c r="C70" s="33">
        <f t="shared" si="16"/>
        <v>588106.875</v>
      </c>
      <c r="D70" s="33">
        <v>0</v>
      </c>
      <c r="E70" s="33">
        <v>37550</v>
      </c>
      <c r="F70" s="33">
        <v>0</v>
      </c>
      <c r="G70" s="33">
        <f t="shared" si="8"/>
        <v>37550</v>
      </c>
      <c r="H70" s="33">
        <f t="shared" si="21"/>
        <v>398382.45</v>
      </c>
      <c r="I70" s="33">
        <f t="shared" si="20"/>
        <v>189724.425</v>
      </c>
      <c r="J70" s="33">
        <f>H70/15</f>
        <v>26558.83</v>
      </c>
      <c r="K70" s="42">
        <v>835</v>
      </c>
      <c r="L70" s="42">
        <v>529</v>
      </c>
      <c r="M70" s="43"/>
    </row>
    <row r="71" spans="1:13" ht="15">
      <c r="A71" s="7">
        <v>41913</v>
      </c>
      <c r="B71" s="37">
        <f t="shared" si="15"/>
        <v>39207.125</v>
      </c>
      <c r="C71" s="33">
        <f t="shared" si="16"/>
        <v>627314</v>
      </c>
      <c r="D71" s="33">
        <v>0</v>
      </c>
      <c r="E71" s="33">
        <v>30941</v>
      </c>
      <c r="F71" s="33">
        <v>0</v>
      </c>
      <c r="G71" s="33">
        <f t="shared" si="8"/>
        <v>30941</v>
      </c>
      <c r="H71" s="33">
        <f t="shared" si="21"/>
        <v>429323.45</v>
      </c>
      <c r="I71" s="33">
        <f t="shared" si="20"/>
        <v>197990.55</v>
      </c>
      <c r="J71" s="33">
        <f>H71/16</f>
        <v>26832.715625</v>
      </c>
      <c r="K71" s="42">
        <v>836</v>
      </c>
      <c r="L71" s="42">
        <v>556</v>
      </c>
      <c r="M71" s="43"/>
    </row>
    <row r="72" spans="1:13" ht="15">
      <c r="A72" s="7">
        <v>41944</v>
      </c>
      <c r="B72" s="37">
        <f t="shared" si="15"/>
        <v>39207.125</v>
      </c>
      <c r="C72" s="33">
        <f t="shared" si="16"/>
        <v>666521.125</v>
      </c>
      <c r="D72" s="33">
        <v>0</v>
      </c>
      <c r="E72" s="33">
        <v>31710</v>
      </c>
      <c r="F72" s="33">
        <v>0</v>
      </c>
      <c r="G72" s="33">
        <f t="shared" si="8"/>
        <v>31710</v>
      </c>
      <c r="H72" s="33">
        <f t="shared" si="21"/>
        <v>461033.45</v>
      </c>
      <c r="I72" s="33">
        <f>C72-H72</f>
        <v>205487.675</v>
      </c>
      <c r="J72" s="33">
        <f>H72/17</f>
        <v>27119.614705882355</v>
      </c>
      <c r="K72" s="42">
        <v>812</v>
      </c>
      <c r="L72" s="42">
        <v>528</v>
      </c>
      <c r="M72" s="43"/>
    </row>
    <row r="73" spans="1:13" ht="15">
      <c r="A73" s="7">
        <v>41974</v>
      </c>
      <c r="B73" s="37">
        <f t="shared" si="15"/>
        <v>39207.125</v>
      </c>
      <c r="C73" s="33">
        <f t="shared" si="16"/>
        <v>705728.25</v>
      </c>
      <c r="D73" s="33">
        <v>0</v>
      </c>
      <c r="E73" s="33">
        <v>36350</v>
      </c>
      <c r="F73" s="33">
        <v>0</v>
      </c>
      <c r="G73" s="33">
        <f t="shared" si="8"/>
        <v>36350</v>
      </c>
      <c r="H73" s="33">
        <f t="shared" si="21"/>
        <v>497383.45</v>
      </c>
      <c r="I73" s="33">
        <f>C73-H73</f>
        <v>208344.8</v>
      </c>
      <c r="J73" s="33">
        <f>H73/18</f>
        <v>27632.41388888889</v>
      </c>
      <c r="K73" s="42">
        <v>788</v>
      </c>
      <c r="L73" s="42">
        <v>448</v>
      </c>
      <c r="M73" s="43"/>
    </row>
    <row r="74" spans="1:13" ht="15">
      <c r="A74" s="7">
        <v>42005</v>
      </c>
      <c r="B74" s="37">
        <f t="shared" si="15"/>
        <v>39207.125</v>
      </c>
      <c r="C74" s="33">
        <f t="shared" si="16"/>
        <v>744935.375</v>
      </c>
      <c r="D74" s="33">
        <v>0</v>
      </c>
      <c r="E74" s="33">
        <v>27804</v>
      </c>
      <c r="F74" s="33">
        <v>0</v>
      </c>
      <c r="G74" s="33">
        <f t="shared" si="8"/>
        <v>27804</v>
      </c>
      <c r="H74" s="33">
        <f t="shared" si="21"/>
        <v>525187.45</v>
      </c>
      <c r="I74" s="33">
        <f>C74-H74</f>
        <v>219747.92500000005</v>
      </c>
      <c r="J74" s="33">
        <f>H74/19</f>
        <v>27641.444736842102</v>
      </c>
      <c r="K74" s="42">
        <v>782</v>
      </c>
      <c r="L74" s="42">
        <v>487</v>
      </c>
      <c r="M74" s="43"/>
    </row>
    <row r="75" spans="1:13" ht="15">
      <c r="A75" s="7">
        <v>42036</v>
      </c>
      <c r="B75" s="37">
        <f t="shared" si="15"/>
        <v>39207.125</v>
      </c>
      <c r="C75" s="33">
        <f t="shared" si="16"/>
        <v>784142.5</v>
      </c>
      <c r="D75" s="33"/>
      <c r="E75" s="33"/>
      <c r="F75" s="33"/>
      <c r="G75" s="33"/>
      <c r="H75" s="33"/>
      <c r="I75" s="33"/>
      <c r="J75" s="33"/>
      <c r="K75" s="42"/>
      <c r="L75" s="42"/>
      <c r="M75" s="43"/>
    </row>
    <row r="76" spans="1:13" ht="15">
      <c r="A76" s="7">
        <v>42064</v>
      </c>
      <c r="B76" s="37">
        <f t="shared" si="15"/>
        <v>39207.125</v>
      </c>
      <c r="C76" s="33">
        <f t="shared" si="16"/>
        <v>823349.625</v>
      </c>
      <c r="D76" s="33"/>
      <c r="E76" s="33"/>
      <c r="F76" s="33"/>
      <c r="G76" s="33"/>
      <c r="H76" s="33"/>
      <c r="I76" s="33"/>
      <c r="J76" s="33"/>
      <c r="K76" s="42"/>
      <c r="L76" s="42"/>
      <c r="M76" s="43"/>
    </row>
    <row r="77" spans="1:13" ht="15">
      <c r="A77" s="7">
        <v>42095</v>
      </c>
      <c r="B77" s="37">
        <f t="shared" si="15"/>
        <v>39207.125</v>
      </c>
      <c r="C77" s="33">
        <f t="shared" si="16"/>
        <v>862556.75</v>
      </c>
      <c r="D77" s="33"/>
      <c r="E77" s="33"/>
      <c r="F77" s="33"/>
      <c r="G77" s="33"/>
      <c r="H77" s="33"/>
      <c r="I77" s="33"/>
      <c r="J77" s="33"/>
      <c r="K77" s="42"/>
      <c r="L77" s="42"/>
      <c r="M77" s="43"/>
    </row>
    <row r="78" spans="1:13" ht="15">
      <c r="A78" s="7">
        <v>42125</v>
      </c>
      <c r="B78" s="37">
        <f t="shared" si="15"/>
        <v>39207.125</v>
      </c>
      <c r="C78" s="33">
        <f t="shared" si="16"/>
        <v>901763.875</v>
      </c>
      <c r="D78" s="33"/>
      <c r="E78" s="33"/>
      <c r="F78" s="33"/>
      <c r="G78" s="33"/>
      <c r="H78" s="33"/>
      <c r="I78" s="33"/>
      <c r="J78" s="33"/>
      <c r="K78" s="42"/>
      <c r="L78" s="42"/>
      <c r="M78" s="43"/>
    </row>
    <row r="79" spans="1:13" ht="15">
      <c r="A79" s="7">
        <v>42156</v>
      </c>
      <c r="B79" s="37">
        <f t="shared" si="15"/>
        <v>39207.125</v>
      </c>
      <c r="C79" s="33">
        <f t="shared" si="16"/>
        <v>940971</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1486458</v>
      </c>
      <c r="C81" s="25">
        <f>SUM(B8:B19)</f>
        <v>1486458</v>
      </c>
      <c r="D81" s="25">
        <f>SUM(D8:D19)</f>
        <v>154807</v>
      </c>
      <c r="E81" s="25">
        <f>SUM(E8:E19)</f>
        <v>1340522</v>
      </c>
      <c r="F81" s="25"/>
      <c r="G81" s="25">
        <f>SUM(G8:G19)</f>
        <v>1495329</v>
      </c>
      <c r="H81" s="25">
        <f>G81</f>
        <v>1495329</v>
      </c>
      <c r="I81" s="25">
        <f>I20</f>
        <v>63600.600000000006</v>
      </c>
      <c r="J81" s="25">
        <f>J19</f>
        <v>143137.4</v>
      </c>
      <c r="K81" s="30">
        <f>SUM(K8:K19)</f>
        <v>6924</v>
      </c>
      <c r="L81" s="30">
        <f>SUM(L8:L19)</f>
        <v>6044</v>
      </c>
      <c r="M81" s="30">
        <f>SUM(M8:M19)</f>
        <v>735</v>
      </c>
    </row>
    <row r="82" spans="1:13" ht="15" hidden="1">
      <c r="A82" s="20" t="s">
        <v>22</v>
      </c>
      <c r="B82" s="25">
        <v>2097025</v>
      </c>
      <c r="C82" s="25">
        <f>C31</f>
        <v>2097025.0000000005</v>
      </c>
      <c r="D82" s="25">
        <f>SUM(D20:D31)</f>
        <v>97039</v>
      </c>
      <c r="E82" s="25">
        <f>SUM(E20:E31)</f>
        <v>1764528</v>
      </c>
      <c r="F82" s="25"/>
      <c r="G82" s="25">
        <f>SUM(G20:G31)</f>
        <v>1861567</v>
      </c>
      <c r="H82" s="25">
        <f>G82</f>
        <v>1861567</v>
      </c>
      <c r="I82" s="25">
        <f>I31</f>
        <v>235458.00000000047</v>
      </c>
      <c r="J82" s="25">
        <f>AVERAGE(G20:G31)</f>
        <v>155130.58333333334</v>
      </c>
      <c r="K82" s="30">
        <f>SUM(K20:K31)</f>
        <v>10531</v>
      </c>
      <c r="L82" s="30">
        <f>SUM(L20:L31)</f>
        <v>6282</v>
      </c>
      <c r="M82" s="30">
        <f>SUM(M20:M31)</f>
        <v>1667</v>
      </c>
    </row>
    <row r="83" spans="1:13" ht="15" hidden="1">
      <c r="A83" s="20" t="s">
        <v>23</v>
      </c>
      <c r="B83" s="25">
        <f>SUM(B81:B82)</f>
        <v>3583483</v>
      </c>
      <c r="C83" s="25">
        <f>SUM(C81:C82)</f>
        <v>3583483.0000000005</v>
      </c>
      <c r="D83" s="25">
        <f>D81+D82</f>
        <v>251846</v>
      </c>
      <c r="E83" s="25">
        <f>E81+E82</f>
        <v>3105050</v>
      </c>
      <c r="F83" s="25"/>
      <c r="G83" s="25">
        <f>G81+G82</f>
        <v>3356896</v>
      </c>
      <c r="H83" s="25">
        <f>H81+H82</f>
        <v>3356896</v>
      </c>
      <c r="I83" s="25"/>
      <c r="J83" s="25">
        <f>AVERAGE(G8:G31)</f>
        <v>139870.66666666666</v>
      </c>
      <c r="K83" s="27">
        <f>SUM(K81:K82)</f>
        <v>17455</v>
      </c>
      <c r="L83" s="27">
        <f>SUM(L81:L82)</f>
        <v>12326</v>
      </c>
      <c r="M83" s="27">
        <f>SUM(M81:M82)</f>
        <v>2402</v>
      </c>
    </row>
    <row r="84" spans="1:12" ht="15" hidden="1">
      <c r="A84" s="20"/>
      <c r="B84" s="25"/>
      <c r="C84" s="25"/>
      <c r="D84" s="25"/>
      <c r="E84" s="25"/>
      <c r="F84" s="25"/>
      <c r="G84" s="25"/>
      <c r="H84" s="25"/>
      <c r="I84" s="25"/>
      <c r="J84" s="25"/>
      <c r="K84" s="27"/>
      <c r="L84" s="27"/>
    </row>
    <row r="85" spans="1:13" ht="15" hidden="1">
      <c r="A85" s="20" t="s">
        <v>24</v>
      </c>
      <c r="B85" s="25">
        <v>357134</v>
      </c>
      <c r="C85" s="25">
        <f>C43</f>
        <v>357134.00000000006</v>
      </c>
      <c r="D85" s="25">
        <f>SUM(D32:D43)</f>
        <v>1435</v>
      </c>
      <c r="E85" s="25">
        <f>SUM(E32:E43)</f>
        <v>97395</v>
      </c>
      <c r="F85" s="25">
        <f>SUM(F32:F74)</f>
        <v>0</v>
      </c>
      <c r="G85" s="25">
        <f>SUM(G32:G43)</f>
        <v>98830</v>
      </c>
      <c r="H85" s="25">
        <f>G85</f>
        <v>98830</v>
      </c>
      <c r="I85" s="25">
        <f>I43</f>
        <v>258304.00000000006</v>
      </c>
      <c r="J85" s="25">
        <f>AVERAGE(G32:G43)</f>
        <v>8235.833333333334</v>
      </c>
      <c r="K85" s="30">
        <f>SUM(K32:K43)</f>
        <v>16512</v>
      </c>
      <c r="L85" s="30">
        <f>SUM(L32:L43)</f>
        <v>3648</v>
      </c>
      <c r="M85" s="4">
        <f>SUM(M32:M43)</f>
        <v>1051</v>
      </c>
    </row>
    <row r="86" spans="1:13" ht="15" hidden="1">
      <c r="A86" s="20" t="s">
        <v>25</v>
      </c>
      <c r="B86" s="25">
        <v>646624</v>
      </c>
      <c r="C86" s="25">
        <f>SUM(B44:B55)</f>
        <v>646624</v>
      </c>
      <c r="D86" s="25">
        <f>SUM(D44:D55)</f>
        <v>3400</v>
      </c>
      <c r="E86" s="25">
        <f>SUM(E44:E55)</f>
        <v>202505</v>
      </c>
      <c r="F86" s="25">
        <f>SUM(F44:F55)</f>
        <v>0</v>
      </c>
      <c r="G86" s="25">
        <f>SUM(G44:G55)</f>
        <v>205905</v>
      </c>
      <c r="H86" s="25">
        <f>G86</f>
        <v>205905</v>
      </c>
      <c r="I86" s="25">
        <f>I55</f>
        <v>440719</v>
      </c>
      <c r="J86" s="25">
        <f>J55</f>
        <v>17158.75</v>
      </c>
      <c r="K86" s="30">
        <f>SUM(K44:K55)</f>
        <v>6481</v>
      </c>
      <c r="L86" s="30">
        <f>SUM(L44:L55)</f>
        <v>1563</v>
      </c>
      <c r="M86" s="44">
        <f>SUM(M44:M55)</f>
        <v>0</v>
      </c>
    </row>
    <row r="87" spans="1:13" ht="15" hidden="1">
      <c r="A87" s="20" t="s">
        <v>26</v>
      </c>
      <c r="B87" s="25">
        <f>B85+B86</f>
        <v>1003758</v>
      </c>
      <c r="C87" s="25">
        <f aca="true" t="shared" si="22" ref="C87:M87">SUM(C85:C86)</f>
        <v>1003758</v>
      </c>
      <c r="D87" s="25">
        <f t="shared" si="22"/>
        <v>4835</v>
      </c>
      <c r="E87" s="25">
        <f t="shared" si="22"/>
        <v>299900</v>
      </c>
      <c r="F87" s="25">
        <f t="shared" si="22"/>
        <v>0</v>
      </c>
      <c r="G87" s="25">
        <f t="shared" si="22"/>
        <v>304735</v>
      </c>
      <c r="H87" s="25">
        <f t="shared" si="22"/>
        <v>304735</v>
      </c>
      <c r="I87" s="25">
        <f t="shared" si="22"/>
        <v>699023</v>
      </c>
      <c r="J87" s="25">
        <f t="shared" si="22"/>
        <v>25394.583333333336</v>
      </c>
      <c r="K87" s="27">
        <f t="shared" si="22"/>
        <v>22993</v>
      </c>
      <c r="L87" s="27">
        <f t="shared" si="22"/>
        <v>5211</v>
      </c>
      <c r="M87" s="27">
        <f t="shared" si="22"/>
        <v>1051</v>
      </c>
    </row>
    <row r="88" spans="1:12" ht="15" hidden="1">
      <c r="A88" s="20"/>
      <c r="B88" s="25"/>
      <c r="C88" s="25"/>
      <c r="D88" s="26"/>
      <c r="E88" s="25"/>
      <c r="F88" s="25"/>
      <c r="G88" s="25"/>
      <c r="I88" s="20"/>
      <c r="J88" s="25"/>
      <c r="K88" s="27"/>
      <c r="L88" s="27"/>
    </row>
    <row r="89" spans="1:13" s="56" customFormat="1" ht="18" hidden="1">
      <c r="A89" s="52" t="s">
        <v>27</v>
      </c>
      <c r="B89" s="53">
        <f>1127734/2</f>
        <v>563867</v>
      </c>
      <c r="C89" s="53">
        <f>C67</f>
        <v>470485.5</v>
      </c>
      <c r="D89" s="53">
        <f>SUM(D56:D67)</f>
        <v>2407</v>
      </c>
      <c r="E89" s="53">
        <f>SUM(E56:E67)</f>
        <v>296019.45</v>
      </c>
      <c r="F89" s="53">
        <f>SUM(F56:F67)</f>
        <v>0</v>
      </c>
      <c r="G89" s="53">
        <f>SUM(G56:G67)</f>
        <v>298426.45</v>
      </c>
      <c r="H89" s="53">
        <f>H67</f>
        <v>298426.45</v>
      </c>
      <c r="I89" s="53">
        <f>I67</f>
        <v>172059.05</v>
      </c>
      <c r="J89" s="53">
        <f>J67</f>
        <v>24868.870833333334</v>
      </c>
      <c r="K89" s="54">
        <f>SUM(K56:K67)</f>
        <v>11641</v>
      </c>
      <c r="L89" s="54">
        <f>SUM(L56:L67)</f>
        <v>4831</v>
      </c>
      <c r="M89" s="55"/>
    </row>
    <row r="90" spans="1:13" s="56" customFormat="1" ht="18" hidden="1">
      <c r="A90" s="52" t="s">
        <v>28</v>
      </c>
      <c r="B90" s="53">
        <f>1127734/2</f>
        <v>563867</v>
      </c>
      <c r="C90" s="53">
        <v>563867.0000000001</v>
      </c>
      <c r="D90" s="53">
        <f>SUM(D68:D79)</f>
        <v>335</v>
      </c>
      <c r="E90" s="53">
        <f>SUM(E68:E79)</f>
        <v>226426</v>
      </c>
      <c r="F90" s="53">
        <f>SUM(F68:F79)</f>
        <v>0</v>
      </c>
      <c r="G90" s="53">
        <f>SUM(G68:G79)</f>
        <v>226761</v>
      </c>
      <c r="H90" s="55"/>
      <c r="I90" s="58"/>
      <c r="J90" s="53"/>
      <c r="K90" s="54">
        <f>SUM(K68:K79)</f>
        <v>5751</v>
      </c>
      <c r="L90" s="54">
        <f>SUM(L68:L79)</f>
        <v>3606</v>
      </c>
      <c r="M90" s="55"/>
    </row>
    <row r="91" spans="1:13" ht="18">
      <c r="A91" s="20" t="s">
        <v>29</v>
      </c>
      <c r="B91" s="8">
        <v>940971</v>
      </c>
      <c r="C91" s="8">
        <f>C79</f>
        <v>940971</v>
      </c>
      <c r="D91" s="8">
        <f aca="true" t="shared" si="23" ref="D91:L91">D89+D90</f>
        <v>2742</v>
      </c>
      <c r="E91" s="8">
        <f t="shared" si="23"/>
        <v>522445.45</v>
      </c>
      <c r="F91" s="8">
        <f t="shared" si="23"/>
        <v>0</v>
      </c>
      <c r="G91" s="8">
        <f t="shared" si="23"/>
        <v>525187.45</v>
      </c>
      <c r="H91" s="8">
        <f>H74</f>
        <v>525187.45</v>
      </c>
      <c r="I91" s="8">
        <f>I74</f>
        <v>219747.92500000005</v>
      </c>
      <c r="J91" s="8">
        <f>J74</f>
        <v>27641.444736842102</v>
      </c>
      <c r="K91" s="9">
        <f t="shared" si="23"/>
        <v>17392</v>
      </c>
      <c r="L91" s="9">
        <f t="shared" si="23"/>
        <v>8437</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6"/>
  <headerFooter alignWithMargins="0">
    <oddFooter>&amp;L&amp;F    &amp;A&amp;C&amp;D&amp;T&amp;R&amp;P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03"/>
  <sheetViews>
    <sheetView zoomScale="75" zoomScaleNormal="75" zoomScalePageLayoutView="0" workbookViewId="0" topLeftCell="A1">
      <pane xSplit="1" ySplit="6" topLeftCell="B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5.57421875" style="4" customWidth="1"/>
    <col min="3" max="12" width="18.00390625" style="4" customWidth="1"/>
    <col min="13" max="13" width="9.28125" style="4" hidden="1" customWidth="1"/>
  </cols>
  <sheetData>
    <row r="1" spans="1:10" ht="18">
      <c r="A1" s="1" t="s">
        <v>0</v>
      </c>
      <c r="B1" s="2"/>
      <c r="C1" s="3"/>
      <c r="D1" s="3"/>
      <c r="E1" s="3"/>
      <c r="F1" s="3"/>
      <c r="G1" s="2"/>
      <c r="H1" s="2"/>
      <c r="I1" s="2"/>
      <c r="J1" s="2"/>
    </row>
    <row r="2" spans="1:2" ht="18">
      <c r="A2" s="5" t="s">
        <v>1</v>
      </c>
      <c r="B2" s="6">
        <v>16</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2" ht="12.75" hidden="1">
      <c r="B7" s="2"/>
      <c r="C7" s="2"/>
      <c r="D7" s="2"/>
      <c r="E7" s="2"/>
      <c r="F7" s="2"/>
      <c r="G7" s="2"/>
      <c r="H7" s="2"/>
      <c r="J7" s="2"/>
      <c r="L7" s="4" t="s">
        <v>38</v>
      </c>
    </row>
    <row r="8" spans="1:12" ht="15" hidden="1">
      <c r="A8" s="7">
        <v>39264</v>
      </c>
      <c r="B8" s="25">
        <f aca="true" t="shared" si="0" ref="B8:B19">$B$81/12</f>
        <v>141250.08333333334</v>
      </c>
      <c r="C8" s="25">
        <f>B8</f>
        <v>141250.08333333334</v>
      </c>
      <c r="D8" s="25">
        <v>11617</v>
      </c>
      <c r="E8" s="25">
        <v>80616</v>
      </c>
      <c r="F8" s="25"/>
      <c r="G8" s="25">
        <f aca="true" t="shared" si="1" ref="G8:G31">D8+E8</f>
        <v>92233</v>
      </c>
      <c r="H8" s="25">
        <f>G8</f>
        <v>92233</v>
      </c>
      <c r="I8" s="25">
        <f aca="true" t="shared" si="2" ref="I8:I39">C8-H8</f>
        <v>49017.08333333334</v>
      </c>
      <c r="J8" s="25">
        <f>H8</f>
        <v>92233</v>
      </c>
      <c r="K8" s="30">
        <v>584</v>
      </c>
      <c r="L8" s="30">
        <v>820</v>
      </c>
    </row>
    <row r="9" spans="1:12" ht="15" hidden="1">
      <c r="A9" s="7">
        <v>39295</v>
      </c>
      <c r="B9" s="25">
        <f t="shared" si="0"/>
        <v>141250.08333333334</v>
      </c>
      <c r="C9" s="25">
        <f aca="true" t="shared" si="3" ref="C9:C19">C8+B9</f>
        <v>282500.1666666667</v>
      </c>
      <c r="D9" s="25">
        <v>21791</v>
      </c>
      <c r="E9" s="25">
        <v>96927</v>
      </c>
      <c r="F9" s="25"/>
      <c r="G9" s="25">
        <f t="shared" si="1"/>
        <v>118718</v>
      </c>
      <c r="H9" s="25">
        <f aca="true" t="shared" si="4" ref="H9:H19">H8+G9</f>
        <v>210951</v>
      </c>
      <c r="I9" s="25">
        <f t="shared" si="2"/>
        <v>71549.16666666669</v>
      </c>
      <c r="J9" s="25">
        <f>AVERAGE(G8:G9)</f>
        <v>105475.5</v>
      </c>
      <c r="K9" s="30">
        <v>583</v>
      </c>
      <c r="L9" s="30">
        <v>710</v>
      </c>
    </row>
    <row r="10" spans="1:12" ht="15" hidden="1">
      <c r="A10" s="7">
        <v>39326</v>
      </c>
      <c r="B10" s="25">
        <f t="shared" si="0"/>
        <v>141250.08333333334</v>
      </c>
      <c r="C10" s="25">
        <f t="shared" si="3"/>
        <v>423750.25</v>
      </c>
      <c r="D10" s="25">
        <v>15345</v>
      </c>
      <c r="E10" s="25">
        <v>88063</v>
      </c>
      <c r="F10" s="25"/>
      <c r="G10" s="25">
        <f t="shared" si="1"/>
        <v>103408</v>
      </c>
      <c r="H10" s="25">
        <f t="shared" si="4"/>
        <v>314359</v>
      </c>
      <c r="I10" s="25">
        <f t="shared" si="2"/>
        <v>109391.25</v>
      </c>
      <c r="J10" s="25">
        <f>AVERAGE(G8:G10)</f>
        <v>104786.33333333333</v>
      </c>
      <c r="K10" s="30">
        <v>613</v>
      </c>
      <c r="L10" s="30">
        <v>865</v>
      </c>
    </row>
    <row r="11" spans="1:13" ht="15" hidden="1">
      <c r="A11" s="7">
        <v>39356</v>
      </c>
      <c r="B11" s="25">
        <f t="shared" si="0"/>
        <v>141250.08333333334</v>
      </c>
      <c r="C11" s="25">
        <f t="shared" si="3"/>
        <v>565000.3333333334</v>
      </c>
      <c r="D11" s="25">
        <v>18800</v>
      </c>
      <c r="E11" s="25">
        <v>117168</v>
      </c>
      <c r="F11" s="25"/>
      <c r="G11" s="25">
        <f t="shared" si="1"/>
        <v>135968</v>
      </c>
      <c r="H11" s="25">
        <f t="shared" si="4"/>
        <v>450327</v>
      </c>
      <c r="I11" s="25">
        <f t="shared" si="2"/>
        <v>114673.33333333337</v>
      </c>
      <c r="J11" s="25">
        <f>AVERAGE(G8:G11)</f>
        <v>112581.75</v>
      </c>
      <c r="K11" s="30">
        <v>626</v>
      </c>
      <c r="L11" s="30">
        <v>702</v>
      </c>
      <c r="M11" s="29">
        <v>16</v>
      </c>
    </row>
    <row r="12" spans="1:13" ht="15" hidden="1">
      <c r="A12" s="7">
        <v>39387</v>
      </c>
      <c r="B12" s="25">
        <f t="shared" si="0"/>
        <v>141250.08333333334</v>
      </c>
      <c r="C12" s="25">
        <f t="shared" si="3"/>
        <v>706250.4166666667</v>
      </c>
      <c r="D12" s="25">
        <v>24328</v>
      </c>
      <c r="E12" s="25">
        <v>116334</v>
      </c>
      <c r="F12" s="25"/>
      <c r="G12" s="25">
        <f t="shared" si="1"/>
        <v>140662</v>
      </c>
      <c r="H12" s="25">
        <f t="shared" si="4"/>
        <v>590989</v>
      </c>
      <c r="I12" s="25">
        <f t="shared" si="2"/>
        <v>115261.41666666674</v>
      </c>
      <c r="J12" s="25">
        <f>AVERAGE(G8:G12)</f>
        <v>118197.8</v>
      </c>
      <c r="K12" s="30">
        <v>659</v>
      </c>
      <c r="L12" s="30">
        <v>680</v>
      </c>
      <c r="M12" s="29">
        <v>60</v>
      </c>
    </row>
    <row r="13" spans="1:13" ht="15" hidden="1">
      <c r="A13" s="7">
        <v>39417</v>
      </c>
      <c r="B13" s="25">
        <f t="shared" si="0"/>
        <v>141250.08333333334</v>
      </c>
      <c r="C13" s="25">
        <f t="shared" si="3"/>
        <v>847500.5000000001</v>
      </c>
      <c r="D13" s="25">
        <v>28072</v>
      </c>
      <c r="E13" s="25">
        <v>125880</v>
      </c>
      <c r="F13" s="25"/>
      <c r="G13" s="25">
        <f t="shared" si="1"/>
        <v>153952</v>
      </c>
      <c r="H13" s="25">
        <f t="shared" si="4"/>
        <v>744941</v>
      </c>
      <c r="I13" s="25">
        <f t="shared" si="2"/>
        <v>102559.50000000012</v>
      </c>
      <c r="J13" s="25">
        <f>AVERAGE(G12:G13)</f>
        <v>147307</v>
      </c>
      <c r="K13" s="30">
        <v>667</v>
      </c>
      <c r="L13" s="30">
        <v>717</v>
      </c>
      <c r="M13" s="29">
        <v>94</v>
      </c>
    </row>
    <row r="14" spans="1:13" ht="15" hidden="1">
      <c r="A14" s="7">
        <v>39448</v>
      </c>
      <c r="B14" s="25">
        <f t="shared" si="0"/>
        <v>141250.08333333334</v>
      </c>
      <c r="C14" s="25">
        <f t="shared" si="3"/>
        <v>988750.5833333335</v>
      </c>
      <c r="D14" s="25">
        <v>30989</v>
      </c>
      <c r="E14" s="25">
        <v>105683</v>
      </c>
      <c r="F14" s="25"/>
      <c r="G14" s="25">
        <f t="shared" si="1"/>
        <v>136672</v>
      </c>
      <c r="H14" s="25">
        <f t="shared" si="4"/>
        <v>881613</v>
      </c>
      <c r="I14" s="25">
        <f t="shared" si="2"/>
        <v>107137.58333333349</v>
      </c>
      <c r="J14" s="25">
        <f>AVERAGE(G12:G14)</f>
        <v>143762</v>
      </c>
      <c r="K14" s="30">
        <v>742</v>
      </c>
      <c r="L14" s="30">
        <v>797</v>
      </c>
      <c r="M14" s="29">
        <v>109</v>
      </c>
    </row>
    <row r="15" spans="1:13" ht="15" hidden="1">
      <c r="A15" s="7">
        <v>39479</v>
      </c>
      <c r="B15" s="25">
        <f t="shared" si="0"/>
        <v>141250.08333333334</v>
      </c>
      <c r="C15" s="25">
        <f t="shared" si="3"/>
        <v>1130000.6666666667</v>
      </c>
      <c r="D15" s="25">
        <v>17154</v>
      </c>
      <c r="E15" s="25">
        <v>150604</v>
      </c>
      <c r="F15" s="25"/>
      <c r="G15" s="25">
        <f t="shared" si="1"/>
        <v>167758</v>
      </c>
      <c r="H15" s="25">
        <f t="shared" si="4"/>
        <v>1049371</v>
      </c>
      <c r="I15" s="25">
        <f t="shared" si="2"/>
        <v>80629.66666666674</v>
      </c>
      <c r="J15" s="25">
        <f>AVERAGE(G12:G15)</f>
        <v>149761</v>
      </c>
      <c r="K15" s="30">
        <v>824</v>
      </c>
      <c r="L15" s="30">
        <v>863</v>
      </c>
      <c r="M15" s="29">
        <v>136</v>
      </c>
    </row>
    <row r="16" spans="1:13" ht="15" hidden="1">
      <c r="A16" s="7">
        <v>39508</v>
      </c>
      <c r="B16" s="25">
        <f t="shared" si="0"/>
        <v>141250.08333333334</v>
      </c>
      <c r="C16" s="25">
        <f t="shared" si="3"/>
        <v>1271250.75</v>
      </c>
      <c r="D16" s="25">
        <v>32649</v>
      </c>
      <c r="E16" s="25">
        <v>150747</v>
      </c>
      <c r="F16" s="25"/>
      <c r="G16" s="25">
        <f t="shared" si="1"/>
        <v>183396</v>
      </c>
      <c r="H16" s="25">
        <f t="shared" si="4"/>
        <v>1232767</v>
      </c>
      <c r="I16" s="25">
        <f t="shared" si="2"/>
        <v>38483.75</v>
      </c>
      <c r="J16" s="25">
        <f>AVERAGE(G12:G16)</f>
        <v>156488</v>
      </c>
      <c r="K16" s="30">
        <v>903</v>
      </c>
      <c r="L16" s="30">
        <v>900</v>
      </c>
      <c r="M16" s="29">
        <v>156</v>
      </c>
    </row>
    <row r="17" spans="1:13" ht="15" hidden="1">
      <c r="A17" s="7">
        <v>39539</v>
      </c>
      <c r="B17" s="25">
        <f t="shared" si="0"/>
        <v>141250.08333333334</v>
      </c>
      <c r="C17" s="25">
        <f t="shared" si="3"/>
        <v>1412500.8333333333</v>
      </c>
      <c r="D17" s="25">
        <v>15810</v>
      </c>
      <c r="E17" s="25">
        <v>237888</v>
      </c>
      <c r="F17" s="25"/>
      <c r="G17" s="25">
        <f t="shared" si="1"/>
        <v>253698</v>
      </c>
      <c r="H17" s="25">
        <f t="shared" si="4"/>
        <v>1486465</v>
      </c>
      <c r="I17" s="25">
        <f t="shared" si="2"/>
        <v>-73964.16666666674</v>
      </c>
      <c r="J17" s="25">
        <f>AVERAGE(G14:G17)</f>
        <v>185381</v>
      </c>
      <c r="K17" s="30">
        <v>926</v>
      </c>
      <c r="L17" s="30">
        <v>979</v>
      </c>
      <c r="M17" s="29">
        <v>179</v>
      </c>
    </row>
    <row r="18" spans="1:13" ht="15" hidden="1">
      <c r="A18" s="7">
        <v>39569</v>
      </c>
      <c r="B18" s="33">
        <f t="shared" si="0"/>
        <v>141250.08333333334</v>
      </c>
      <c r="C18" s="33">
        <f t="shared" si="3"/>
        <v>1553750.9166666665</v>
      </c>
      <c r="D18" s="33">
        <v>23740</v>
      </c>
      <c r="E18" s="33">
        <v>202761</v>
      </c>
      <c r="F18" s="33"/>
      <c r="G18" s="25">
        <f t="shared" si="1"/>
        <v>226501</v>
      </c>
      <c r="H18" s="25">
        <f t="shared" si="4"/>
        <v>1712966</v>
      </c>
      <c r="I18" s="25">
        <f t="shared" si="2"/>
        <v>-159215.0833333335</v>
      </c>
      <c r="J18" s="25">
        <f>AVERAGE(G14:G18)</f>
        <v>193605</v>
      </c>
      <c r="K18" s="30">
        <v>921</v>
      </c>
      <c r="L18" s="30">
        <v>986</v>
      </c>
      <c r="M18" s="29">
        <v>206</v>
      </c>
    </row>
    <row r="19" spans="1:13" ht="15.75" hidden="1" thickBot="1">
      <c r="A19" s="7">
        <v>39600</v>
      </c>
      <c r="B19" s="34">
        <f t="shared" si="0"/>
        <v>141250.08333333334</v>
      </c>
      <c r="C19" s="34">
        <f t="shared" si="3"/>
        <v>1695000.9999999998</v>
      </c>
      <c r="D19" s="34">
        <v>24625</v>
      </c>
      <c r="E19" s="34">
        <v>194507</v>
      </c>
      <c r="F19" s="34"/>
      <c r="G19" s="34">
        <f t="shared" si="1"/>
        <v>219132</v>
      </c>
      <c r="H19" s="34">
        <f t="shared" si="4"/>
        <v>1932098</v>
      </c>
      <c r="I19" s="34">
        <f t="shared" si="2"/>
        <v>-237097.00000000023</v>
      </c>
      <c r="J19" s="34">
        <f>AVERAGE(G15:G19)</f>
        <v>210097</v>
      </c>
      <c r="K19" s="35">
        <v>966</v>
      </c>
      <c r="L19" s="35">
        <v>961</v>
      </c>
      <c r="M19" s="36">
        <v>245</v>
      </c>
    </row>
    <row r="20" spans="1:13" ht="15" hidden="1">
      <c r="A20" s="7">
        <v>39630</v>
      </c>
      <c r="B20" s="37">
        <v>280486.6</v>
      </c>
      <c r="C20" s="33">
        <f>B20</f>
        <v>280486.6</v>
      </c>
      <c r="D20" s="33">
        <v>26500</v>
      </c>
      <c r="E20" s="33">
        <v>235355</v>
      </c>
      <c r="F20" s="33"/>
      <c r="G20" s="33">
        <f t="shared" si="1"/>
        <v>261855</v>
      </c>
      <c r="H20" s="33">
        <f>G20</f>
        <v>261855</v>
      </c>
      <c r="I20" s="33">
        <f t="shared" si="2"/>
        <v>18631.599999999977</v>
      </c>
      <c r="J20" s="33">
        <f>H20</f>
        <v>261855</v>
      </c>
      <c r="K20" s="30">
        <v>1011</v>
      </c>
      <c r="L20" s="30">
        <v>920</v>
      </c>
      <c r="M20" s="29">
        <v>250</v>
      </c>
    </row>
    <row r="21" spans="1:13" ht="15" hidden="1">
      <c r="A21" s="7">
        <v>39661</v>
      </c>
      <c r="B21" s="37">
        <v>280486.6</v>
      </c>
      <c r="C21" s="33">
        <f aca="true" t="shared" si="5" ref="C21:C31">C20+B21</f>
        <v>560973.2</v>
      </c>
      <c r="D21" s="33">
        <v>17413</v>
      </c>
      <c r="E21" s="33">
        <v>201596</v>
      </c>
      <c r="F21" s="33"/>
      <c r="G21" s="33">
        <f t="shared" si="1"/>
        <v>219009</v>
      </c>
      <c r="H21" s="33">
        <f aca="true" t="shared" si="6" ref="H21:H31">H20+G21</f>
        <v>480864</v>
      </c>
      <c r="I21" s="33">
        <f t="shared" si="2"/>
        <v>80109.19999999995</v>
      </c>
      <c r="J21" s="33">
        <f>H21/2</f>
        <v>240432</v>
      </c>
      <c r="K21" s="30">
        <v>1024</v>
      </c>
      <c r="L21" s="30">
        <v>947</v>
      </c>
      <c r="M21" s="29">
        <v>274</v>
      </c>
    </row>
    <row r="22" spans="1:13" ht="15" hidden="1">
      <c r="A22" s="7">
        <v>39692</v>
      </c>
      <c r="B22" s="37">
        <v>280486.6</v>
      </c>
      <c r="C22" s="33">
        <f t="shared" si="5"/>
        <v>841459.7999999999</v>
      </c>
      <c r="D22" s="33">
        <v>17343</v>
      </c>
      <c r="E22" s="33">
        <v>241300</v>
      </c>
      <c r="F22" s="33"/>
      <c r="G22" s="33">
        <f t="shared" si="1"/>
        <v>258643</v>
      </c>
      <c r="H22" s="33">
        <f t="shared" si="6"/>
        <v>739507</v>
      </c>
      <c r="I22" s="33">
        <f t="shared" si="2"/>
        <v>101952.79999999993</v>
      </c>
      <c r="J22" s="33">
        <f>H22/3</f>
        <v>246502.33333333334</v>
      </c>
      <c r="K22" s="30">
        <v>1088</v>
      </c>
      <c r="L22" s="30">
        <v>1062</v>
      </c>
      <c r="M22" s="29">
        <v>285</v>
      </c>
    </row>
    <row r="23" spans="1:13" ht="15" hidden="1">
      <c r="A23" s="7">
        <v>39722</v>
      </c>
      <c r="B23" s="37">
        <v>280486.6</v>
      </c>
      <c r="C23" s="33">
        <f t="shared" si="5"/>
        <v>1121946.4</v>
      </c>
      <c r="D23" s="33">
        <v>12565</v>
      </c>
      <c r="E23" s="33">
        <v>209144</v>
      </c>
      <c r="F23" s="33"/>
      <c r="G23" s="33">
        <f t="shared" si="1"/>
        <v>221709</v>
      </c>
      <c r="H23" s="33">
        <f t="shared" si="6"/>
        <v>961216</v>
      </c>
      <c r="I23" s="33">
        <f t="shared" si="2"/>
        <v>160730.3999999999</v>
      </c>
      <c r="J23" s="33">
        <f>H23/4</f>
        <v>240304</v>
      </c>
      <c r="K23" s="30">
        <v>1173</v>
      </c>
      <c r="L23" s="30">
        <v>1030</v>
      </c>
      <c r="M23" s="29">
        <v>297</v>
      </c>
    </row>
    <row r="24" spans="1:13" ht="15" hidden="1">
      <c r="A24" s="7">
        <v>39753</v>
      </c>
      <c r="B24" s="37">
        <v>280486.6</v>
      </c>
      <c r="C24" s="33">
        <f t="shared" si="5"/>
        <v>1402433</v>
      </c>
      <c r="D24" s="33">
        <v>13012</v>
      </c>
      <c r="E24" s="33">
        <v>202738</v>
      </c>
      <c r="F24" s="33"/>
      <c r="G24" s="33">
        <f t="shared" si="1"/>
        <v>215750</v>
      </c>
      <c r="H24" s="33">
        <f t="shared" si="6"/>
        <v>1176966</v>
      </c>
      <c r="I24" s="33">
        <f t="shared" si="2"/>
        <v>225467</v>
      </c>
      <c r="J24" s="33">
        <f>H24/5</f>
        <v>235393.2</v>
      </c>
      <c r="K24" s="30">
        <v>1239</v>
      </c>
      <c r="L24" s="30">
        <v>966</v>
      </c>
      <c r="M24" s="29">
        <v>282</v>
      </c>
    </row>
    <row r="25" spans="1:13" ht="15" hidden="1">
      <c r="A25" s="7">
        <v>39783</v>
      </c>
      <c r="B25" s="38">
        <v>200831.7142857143</v>
      </c>
      <c r="C25" s="33">
        <f t="shared" si="5"/>
        <v>1603264.7142857143</v>
      </c>
      <c r="D25" s="33">
        <v>14083</v>
      </c>
      <c r="E25" s="33">
        <v>173380</v>
      </c>
      <c r="F25" s="33"/>
      <c r="G25" s="33">
        <f t="shared" si="1"/>
        <v>187463</v>
      </c>
      <c r="H25" s="33">
        <f t="shared" si="6"/>
        <v>1364429</v>
      </c>
      <c r="I25" s="33">
        <f t="shared" si="2"/>
        <v>238835.71428571432</v>
      </c>
      <c r="J25" s="33">
        <f>H25/6</f>
        <v>227404.83333333334</v>
      </c>
      <c r="K25" s="30">
        <v>1287</v>
      </c>
      <c r="L25" s="30">
        <v>876</v>
      </c>
      <c r="M25" s="29">
        <v>257</v>
      </c>
    </row>
    <row r="26" spans="1:13" ht="15" hidden="1">
      <c r="A26" s="7">
        <v>39814</v>
      </c>
      <c r="B26" s="38">
        <v>200831.7142857143</v>
      </c>
      <c r="C26" s="33">
        <f t="shared" si="5"/>
        <v>1804096.4285714286</v>
      </c>
      <c r="D26" s="33">
        <v>10351</v>
      </c>
      <c r="E26" s="33">
        <v>151558</v>
      </c>
      <c r="F26" s="33"/>
      <c r="G26" s="33">
        <f t="shared" si="1"/>
        <v>161909</v>
      </c>
      <c r="H26" s="33">
        <f t="shared" si="6"/>
        <v>1526338</v>
      </c>
      <c r="I26" s="33">
        <f t="shared" si="2"/>
        <v>277758.42857142864</v>
      </c>
      <c r="J26" s="33">
        <f>H26/7</f>
        <v>218048.2857142857</v>
      </c>
      <c r="K26" s="30">
        <v>1350</v>
      </c>
      <c r="L26" s="30">
        <v>960</v>
      </c>
      <c r="M26" s="29">
        <v>245</v>
      </c>
    </row>
    <row r="27" spans="1:13" ht="15" hidden="1">
      <c r="A27" s="7">
        <v>39845</v>
      </c>
      <c r="B27" s="38">
        <v>200831.7142857143</v>
      </c>
      <c r="C27" s="33">
        <f t="shared" si="5"/>
        <v>2004928.142857143</v>
      </c>
      <c r="D27" s="33">
        <v>8164</v>
      </c>
      <c r="E27" s="33">
        <v>128251</v>
      </c>
      <c r="F27" s="33"/>
      <c r="G27" s="33">
        <f t="shared" si="1"/>
        <v>136415</v>
      </c>
      <c r="H27" s="33">
        <f t="shared" si="6"/>
        <v>1662753</v>
      </c>
      <c r="I27" s="33">
        <f t="shared" si="2"/>
        <v>342175.14285714296</v>
      </c>
      <c r="J27" s="33">
        <f>H27/8</f>
        <v>207844.125</v>
      </c>
      <c r="K27" s="30">
        <v>1383</v>
      </c>
      <c r="L27" s="30">
        <v>954</v>
      </c>
      <c r="M27" s="29">
        <v>229</v>
      </c>
    </row>
    <row r="28" spans="1:13" ht="15" hidden="1">
      <c r="A28" s="7">
        <v>39873</v>
      </c>
      <c r="B28" s="38">
        <v>200831.7142857143</v>
      </c>
      <c r="C28" s="33">
        <f t="shared" si="5"/>
        <v>2205759.8571428573</v>
      </c>
      <c r="D28" s="33">
        <v>17308</v>
      </c>
      <c r="E28" s="33">
        <v>150144</v>
      </c>
      <c r="F28" s="33"/>
      <c r="G28" s="33">
        <f t="shared" si="1"/>
        <v>167452</v>
      </c>
      <c r="H28" s="33">
        <f t="shared" si="6"/>
        <v>1830205</v>
      </c>
      <c r="I28" s="33">
        <f t="shared" si="2"/>
        <v>375554.8571428573</v>
      </c>
      <c r="J28" s="33">
        <f>H28/9</f>
        <v>203356.11111111112</v>
      </c>
      <c r="K28" s="30">
        <v>1465</v>
      </c>
      <c r="L28" s="30">
        <v>961</v>
      </c>
      <c r="M28" s="4">
        <v>215</v>
      </c>
    </row>
    <row r="29" spans="1:13" ht="15" hidden="1">
      <c r="A29" s="7">
        <v>39904</v>
      </c>
      <c r="B29" s="38">
        <v>200831.7142857143</v>
      </c>
      <c r="C29" s="33">
        <f t="shared" si="5"/>
        <v>2406591.5714285714</v>
      </c>
      <c r="D29" s="33">
        <v>10312</v>
      </c>
      <c r="E29" s="33">
        <v>202375</v>
      </c>
      <c r="F29" s="33"/>
      <c r="G29" s="33">
        <f t="shared" si="1"/>
        <v>212687</v>
      </c>
      <c r="H29" s="33">
        <f t="shared" si="6"/>
        <v>2042892</v>
      </c>
      <c r="I29" s="33">
        <f t="shared" si="2"/>
        <v>363699.57142857136</v>
      </c>
      <c r="J29" s="33">
        <f>H29/10</f>
        <v>204289.2</v>
      </c>
      <c r="K29" s="30">
        <v>1539</v>
      </c>
      <c r="L29" s="30">
        <v>1022</v>
      </c>
      <c r="M29" s="4">
        <v>210</v>
      </c>
    </row>
    <row r="30" spans="1:13" ht="15" hidden="1">
      <c r="A30" s="7">
        <v>39934</v>
      </c>
      <c r="B30" s="38">
        <v>200831.7142857143</v>
      </c>
      <c r="C30" s="33">
        <f t="shared" si="5"/>
        <v>2607423.2857142854</v>
      </c>
      <c r="D30" s="33">
        <v>5702</v>
      </c>
      <c r="E30" s="33">
        <v>202030</v>
      </c>
      <c r="F30" s="33"/>
      <c r="G30" s="33">
        <f t="shared" si="1"/>
        <v>207732</v>
      </c>
      <c r="H30" s="33">
        <f t="shared" si="6"/>
        <v>2250624</v>
      </c>
      <c r="I30" s="33">
        <f t="shared" si="2"/>
        <v>356799.28571428545</v>
      </c>
      <c r="J30" s="33">
        <f>H30/11</f>
        <v>204602.18181818182</v>
      </c>
      <c r="K30" s="30">
        <v>1544</v>
      </c>
      <c r="L30" s="30">
        <v>1075</v>
      </c>
      <c r="M30" s="4">
        <v>198</v>
      </c>
    </row>
    <row r="31" spans="1:13" ht="15.75" hidden="1" thickBot="1">
      <c r="A31" s="7">
        <v>39965</v>
      </c>
      <c r="B31" s="39">
        <v>200831.7142857143</v>
      </c>
      <c r="C31" s="34">
        <f t="shared" si="5"/>
        <v>2808254.9999999995</v>
      </c>
      <c r="D31" s="34">
        <v>5246</v>
      </c>
      <c r="E31" s="34">
        <v>158414</v>
      </c>
      <c r="F31" s="34"/>
      <c r="G31" s="34">
        <f t="shared" si="1"/>
        <v>163660</v>
      </c>
      <c r="H31" s="34">
        <f t="shared" si="6"/>
        <v>2414284</v>
      </c>
      <c r="I31" s="34">
        <f t="shared" si="2"/>
        <v>393970.99999999953</v>
      </c>
      <c r="J31" s="34">
        <f>H31/12</f>
        <v>201190.33333333334</v>
      </c>
      <c r="K31" s="35">
        <v>1549</v>
      </c>
      <c r="L31" s="35">
        <v>1010</v>
      </c>
      <c r="M31" s="41">
        <v>190</v>
      </c>
    </row>
    <row r="32" spans="1:13" ht="18" hidden="1">
      <c r="A32" s="7">
        <v>40725</v>
      </c>
      <c r="B32" s="37">
        <f aca="true" t="shared" si="7" ref="B32:B43">$B$85/12</f>
        <v>49187</v>
      </c>
      <c r="C32" s="33">
        <f>B32</f>
        <v>49187</v>
      </c>
      <c r="D32" s="33">
        <v>50</v>
      </c>
      <c r="E32" s="33">
        <v>11571</v>
      </c>
      <c r="F32" s="33">
        <v>0</v>
      </c>
      <c r="G32" s="33">
        <f aca="true" t="shared" si="8" ref="G32:G74">D32+E32+F32</f>
        <v>11621</v>
      </c>
      <c r="H32" s="33">
        <f>G32</f>
        <v>11621</v>
      </c>
      <c r="I32" s="33">
        <f t="shared" si="2"/>
        <v>37566</v>
      </c>
      <c r="J32" s="11">
        <f>H32</f>
        <v>11621</v>
      </c>
      <c r="K32" s="47">
        <v>2165</v>
      </c>
      <c r="L32" s="47">
        <v>1673</v>
      </c>
      <c r="M32" s="43">
        <v>210</v>
      </c>
    </row>
    <row r="33" spans="1:13" ht="18" hidden="1">
      <c r="A33" s="7">
        <v>40756</v>
      </c>
      <c r="B33" s="37">
        <f t="shared" si="7"/>
        <v>49187</v>
      </c>
      <c r="C33" s="33">
        <f aca="true" t="shared" si="9" ref="C33:C43">C32+B33</f>
        <v>98374</v>
      </c>
      <c r="D33" s="33">
        <v>0</v>
      </c>
      <c r="E33" s="33">
        <f>10423+24-F33</f>
        <v>10471</v>
      </c>
      <c r="F33" s="33">
        <v>-24</v>
      </c>
      <c r="G33" s="33">
        <f t="shared" si="8"/>
        <v>10447</v>
      </c>
      <c r="H33" s="33">
        <f aca="true" t="shared" si="10" ref="H33:H43">H32+G33</f>
        <v>22068</v>
      </c>
      <c r="I33" s="33">
        <f t="shared" si="2"/>
        <v>76306</v>
      </c>
      <c r="J33" s="11">
        <f>H33/2</f>
        <v>11034</v>
      </c>
      <c r="K33" s="47">
        <v>1844</v>
      </c>
      <c r="L33" s="47">
        <v>2018</v>
      </c>
      <c r="M33" s="43">
        <v>210</v>
      </c>
    </row>
    <row r="34" spans="1:13" ht="18" hidden="1">
      <c r="A34" s="7">
        <v>40787</v>
      </c>
      <c r="B34" s="37">
        <f t="shared" si="7"/>
        <v>49187</v>
      </c>
      <c r="C34" s="33">
        <f t="shared" si="9"/>
        <v>147561</v>
      </c>
      <c r="D34" s="33">
        <v>0</v>
      </c>
      <c r="E34" s="33">
        <v>2915</v>
      </c>
      <c r="F34" s="33">
        <v>0</v>
      </c>
      <c r="G34" s="33">
        <f t="shared" si="8"/>
        <v>2915</v>
      </c>
      <c r="H34" s="33">
        <f t="shared" si="10"/>
        <v>24983</v>
      </c>
      <c r="I34" s="33">
        <f t="shared" si="2"/>
        <v>122578</v>
      </c>
      <c r="J34" s="11">
        <f>H34/3</f>
        <v>8327.666666666666</v>
      </c>
      <c r="K34" s="47">
        <v>1930</v>
      </c>
      <c r="L34" s="47">
        <v>2188</v>
      </c>
      <c r="M34" s="43">
        <v>199</v>
      </c>
    </row>
    <row r="35" spans="1:13" ht="18" hidden="1">
      <c r="A35" s="7">
        <v>40817</v>
      </c>
      <c r="B35" s="37">
        <f t="shared" si="7"/>
        <v>49187</v>
      </c>
      <c r="C35" s="33">
        <f t="shared" si="9"/>
        <v>196748</v>
      </c>
      <c r="D35" s="33">
        <v>0</v>
      </c>
      <c r="E35" s="33">
        <v>5211</v>
      </c>
      <c r="F35" s="33">
        <v>0</v>
      </c>
      <c r="G35" s="33">
        <f t="shared" si="8"/>
        <v>5211</v>
      </c>
      <c r="H35" s="33">
        <f t="shared" si="10"/>
        <v>30194</v>
      </c>
      <c r="I35" s="33">
        <f t="shared" si="2"/>
        <v>166554</v>
      </c>
      <c r="J35" s="11">
        <f>H35/4</f>
        <v>7548.5</v>
      </c>
      <c r="K35" s="47">
        <v>2143</v>
      </c>
      <c r="L35" s="47">
        <v>2489</v>
      </c>
      <c r="M35" s="43">
        <v>210</v>
      </c>
    </row>
    <row r="36" spans="1:13" ht="18" hidden="1">
      <c r="A36" s="7">
        <v>40848</v>
      </c>
      <c r="B36" s="37">
        <f t="shared" si="7"/>
        <v>49187</v>
      </c>
      <c r="C36" s="33">
        <f t="shared" si="9"/>
        <v>245935</v>
      </c>
      <c r="D36" s="33">
        <v>0</v>
      </c>
      <c r="E36" s="33">
        <v>13195</v>
      </c>
      <c r="F36" s="33">
        <v>0</v>
      </c>
      <c r="G36" s="33">
        <f t="shared" si="8"/>
        <v>13195</v>
      </c>
      <c r="H36" s="33">
        <f t="shared" si="10"/>
        <v>43389</v>
      </c>
      <c r="I36" s="33">
        <f t="shared" si="2"/>
        <v>202546</v>
      </c>
      <c r="J36" s="11">
        <f>H36/5</f>
        <v>8677.8</v>
      </c>
      <c r="K36" s="47">
        <v>2292</v>
      </c>
      <c r="L36" s="47">
        <v>2617</v>
      </c>
      <c r="M36" s="43">
        <v>213</v>
      </c>
    </row>
    <row r="37" spans="1:13" ht="18" hidden="1">
      <c r="A37" s="7">
        <v>40878</v>
      </c>
      <c r="B37" s="37">
        <f t="shared" si="7"/>
        <v>49187</v>
      </c>
      <c r="C37" s="33">
        <f t="shared" si="9"/>
        <v>295122</v>
      </c>
      <c r="D37" s="33">
        <v>0</v>
      </c>
      <c r="E37" s="33">
        <v>9032</v>
      </c>
      <c r="F37" s="33">
        <v>0</v>
      </c>
      <c r="G37" s="33">
        <f t="shared" si="8"/>
        <v>9032</v>
      </c>
      <c r="H37" s="33">
        <f t="shared" si="10"/>
        <v>52421</v>
      </c>
      <c r="I37" s="33">
        <f t="shared" si="2"/>
        <v>242701</v>
      </c>
      <c r="J37" s="11">
        <f>H37/6</f>
        <v>8736.833333333334</v>
      </c>
      <c r="K37" s="47">
        <v>2223</v>
      </c>
      <c r="L37" s="47">
        <v>2572</v>
      </c>
      <c r="M37" s="43">
        <v>216</v>
      </c>
    </row>
    <row r="38" spans="1:13" ht="18" hidden="1">
      <c r="A38" s="7">
        <v>40909</v>
      </c>
      <c r="B38" s="37">
        <f t="shared" si="7"/>
        <v>49187</v>
      </c>
      <c r="C38" s="33">
        <f t="shared" si="9"/>
        <v>344309</v>
      </c>
      <c r="D38" s="33">
        <v>142</v>
      </c>
      <c r="E38" s="33">
        <v>15073</v>
      </c>
      <c r="F38" s="33">
        <v>0</v>
      </c>
      <c r="G38" s="33">
        <f t="shared" si="8"/>
        <v>15215</v>
      </c>
      <c r="H38" s="33">
        <f t="shared" si="10"/>
        <v>67636</v>
      </c>
      <c r="I38" s="33">
        <f t="shared" si="2"/>
        <v>276673</v>
      </c>
      <c r="J38" s="11">
        <f>H38/7</f>
        <v>9662.285714285714</v>
      </c>
      <c r="K38" s="47">
        <v>2228</v>
      </c>
      <c r="L38" s="47">
        <v>2514</v>
      </c>
      <c r="M38" s="43">
        <v>207</v>
      </c>
    </row>
    <row r="39" spans="1:13" ht="18" hidden="1">
      <c r="A39" s="7">
        <v>40940</v>
      </c>
      <c r="B39" s="37">
        <f t="shared" si="7"/>
        <v>49187</v>
      </c>
      <c r="C39" s="33">
        <f t="shared" si="9"/>
        <v>393496</v>
      </c>
      <c r="D39" s="33">
        <v>0</v>
      </c>
      <c r="E39" s="33">
        <f>14606-F39</f>
        <v>14582.5</v>
      </c>
      <c r="F39" s="33">
        <v>23.5</v>
      </c>
      <c r="G39" s="33">
        <f t="shared" si="8"/>
        <v>14606</v>
      </c>
      <c r="H39" s="33">
        <f t="shared" si="10"/>
        <v>82242</v>
      </c>
      <c r="I39" s="33">
        <f t="shared" si="2"/>
        <v>311254</v>
      </c>
      <c r="J39" s="11">
        <f>H39/8</f>
        <v>10280.25</v>
      </c>
      <c r="K39" s="47">
        <v>2101</v>
      </c>
      <c r="L39" s="47">
        <v>2464</v>
      </c>
      <c r="M39" s="43">
        <v>200</v>
      </c>
    </row>
    <row r="40" spans="1:13" ht="18" hidden="1">
      <c r="A40" s="7">
        <v>40969</v>
      </c>
      <c r="B40" s="37">
        <f t="shared" si="7"/>
        <v>49187</v>
      </c>
      <c r="C40" s="33">
        <f t="shared" si="9"/>
        <v>442683</v>
      </c>
      <c r="D40" s="33">
        <v>167</v>
      </c>
      <c r="E40" s="33">
        <v>18850</v>
      </c>
      <c r="F40" s="33">
        <v>0</v>
      </c>
      <c r="G40" s="33">
        <f t="shared" si="8"/>
        <v>19017</v>
      </c>
      <c r="H40" s="33">
        <f t="shared" si="10"/>
        <v>101259</v>
      </c>
      <c r="I40" s="33">
        <f aca="true" t="shared" si="11" ref="I40:I59">C40-H40</f>
        <v>341424</v>
      </c>
      <c r="J40" s="11">
        <f>H40/9</f>
        <v>11251</v>
      </c>
      <c r="K40" s="47">
        <v>2022</v>
      </c>
      <c r="L40" s="47">
        <v>2449</v>
      </c>
      <c r="M40" s="43">
        <v>195</v>
      </c>
    </row>
    <row r="41" spans="1:13" ht="18" hidden="1">
      <c r="A41" s="7">
        <v>41000</v>
      </c>
      <c r="B41" s="37">
        <f t="shared" si="7"/>
        <v>49187</v>
      </c>
      <c r="C41" s="33">
        <f t="shared" si="9"/>
        <v>491870</v>
      </c>
      <c r="D41" s="33">
        <v>95</v>
      </c>
      <c r="E41" s="33">
        <v>27790</v>
      </c>
      <c r="F41" s="33">
        <v>0</v>
      </c>
      <c r="G41" s="33">
        <f t="shared" si="8"/>
        <v>27885</v>
      </c>
      <c r="H41" s="33">
        <f t="shared" si="10"/>
        <v>129144</v>
      </c>
      <c r="I41" s="33">
        <f t="shared" si="11"/>
        <v>362726</v>
      </c>
      <c r="J41" s="11">
        <f>H41/10</f>
        <v>12914.4</v>
      </c>
      <c r="K41" s="47">
        <v>2207</v>
      </c>
      <c r="L41" s="47">
        <v>2408</v>
      </c>
      <c r="M41" s="43">
        <v>116</v>
      </c>
    </row>
    <row r="42" spans="1:13" ht="18" hidden="1">
      <c r="A42" s="7">
        <v>41030</v>
      </c>
      <c r="B42" s="37">
        <f t="shared" si="7"/>
        <v>49187</v>
      </c>
      <c r="C42" s="33">
        <f t="shared" si="9"/>
        <v>541057</v>
      </c>
      <c r="D42" s="33">
        <v>324</v>
      </c>
      <c r="E42" s="33">
        <v>29618</v>
      </c>
      <c r="F42" s="33">
        <v>0</v>
      </c>
      <c r="G42" s="33">
        <f t="shared" si="8"/>
        <v>29942</v>
      </c>
      <c r="H42" s="33">
        <f t="shared" si="10"/>
        <v>159086</v>
      </c>
      <c r="I42" s="33">
        <f t="shared" si="11"/>
        <v>381971</v>
      </c>
      <c r="J42" s="11">
        <f>H42/11</f>
        <v>14462.363636363636</v>
      </c>
      <c r="K42" s="47">
        <v>1889</v>
      </c>
      <c r="L42" s="47">
        <v>2175</v>
      </c>
      <c r="M42" s="43">
        <v>0</v>
      </c>
    </row>
    <row r="43" spans="1:13" ht="18.75" hidden="1" thickBot="1">
      <c r="A43" s="7">
        <v>41061</v>
      </c>
      <c r="B43" s="39">
        <f t="shared" si="7"/>
        <v>49187</v>
      </c>
      <c r="C43" s="34">
        <f t="shared" si="9"/>
        <v>590244</v>
      </c>
      <c r="D43" s="34">
        <v>0</v>
      </c>
      <c r="E43" s="34">
        <v>30103</v>
      </c>
      <c r="F43" s="34">
        <v>0</v>
      </c>
      <c r="G43" s="34">
        <f t="shared" si="8"/>
        <v>30103</v>
      </c>
      <c r="H43" s="34">
        <f t="shared" si="10"/>
        <v>189189</v>
      </c>
      <c r="I43" s="34">
        <f t="shared" si="11"/>
        <v>401055</v>
      </c>
      <c r="J43" s="12">
        <f>H43/12</f>
        <v>15765.75</v>
      </c>
      <c r="K43" s="35">
        <v>1856</v>
      </c>
      <c r="L43" s="35">
        <v>1886</v>
      </c>
      <c r="M43" s="41">
        <v>0</v>
      </c>
    </row>
    <row r="44" spans="1:13" ht="15" hidden="1">
      <c r="A44" s="7">
        <v>41091</v>
      </c>
      <c r="B44" s="37">
        <f aca="true" t="shared" si="12" ref="B44:B55">$B$86/12</f>
        <v>74825.66666666667</v>
      </c>
      <c r="C44" s="33">
        <f>B44</f>
        <v>74825.66666666667</v>
      </c>
      <c r="D44" s="33">
        <v>112</v>
      </c>
      <c r="E44" s="33">
        <v>45042</v>
      </c>
      <c r="F44" s="33">
        <v>0</v>
      </c>
      <c r="G44" s="33">
        <f t="shared" si="8"/>
        <v>45154</v>
      </c>
      <c r="H44" s="33">
        <f>G44</f>
        <v>45154</v>
      </c>
      <c r="I44" s="33">
        <f t="shared" si="11"/>
        <v>29671.66666666667</v>
      </c>
      <c r="J44" s="33">
        <f>H44/1</f>
        <v>45154</v>
      </c>
      <c r="K44" s="47">
        <v>1764</v>
      </c>
      <c r="L44" s="47">
        <v>1754</v>
      </c>
      <c r="M44" s="43"/>
    </row>
    <row r="45" spans="1:13" ht="15" hidden="1">
      <c r="A45" s="7">
        <v>41122</v>
      </c>
      <c r="B45" s="37">
        <f t="shared" si="12"/>
        <v>74825.66666666667</v>
      </c>
      <c r="C45" s="33">
        <f aca="true" t="shared" si="13" ref="C45:C55">C44+B45</f>
        <v>149651.33333333334</v>
      </c>
      <c r="D45" s="33">
        <v>250</v>
      </c>
      <c r="E45" s="33">
        <v>48775</v>
      </c>
      <c r="F45" s="33">
        <v>0</v>
      </c>
      <c r="G45" s="33">
        <f t="shared" si="8"/>
        <v>49025</v>
      </c>
      <c r="H45" s="33">
        <f aca="true" t="shared" si="14" ref="H45:H55">H44+G45</f>
        <v>94179</v>
      </c>
      <c r="I45" s="33">
        <f t="shared" si="11"/>
        <v>55472.33333333334</v>
      </c>
      <c r="J45" s="33">
        <f>H45/2</f>
        <v>47089.5</v>
      </c>
      <c r="K45" s="47">
        <v>1759</v>
      </c>
      <c r="L45" s="47">
        <v>1688</v>
      </c>
      <c r="M45" s="43"/>
    </row>
    <row r="46" spans="1:13" ht="15" hidden="1">
      <c r="A46" s="7">
        <v>41153</v>
      </c>
      <c r="B46" s="37">
        <f t="shared" si="12"/>
        <v>74825.66666666667</v>
      </c>
      <c r="C46" s="33">
        <f t="shared" si="13"/>
        <v>224477</v>
      </c>
      <c r="D46" s="33">
        <v>200</v>
      </c>
      <c r="E46" s="33">
        <v>47941</v>
      </c>
      <c r="F46" s="33">
        <v>0</v>
      </c>
      <c r="G46" s="33">
        <f t="shared" si="8"/>
        <v>48141</v>
      </c>
      <c r="H46" s="33">
        <f t="shared" si="14"/>
        <v>142320</v>
      </c>
      <c r="I46" s="33">
        <f t="shared" si="11"/>
        <v>82157</v>
      </c>
      <c r="J46" s="33">
        <f>H46/3</f>
        <v>47440</v>
      </c>
      <c r="K46" s="47">
        <v>1740</v>
      </c>
      <c r="L46" s="47">
        <v>1693</v>
      </c>
      <c r="M46" s="43"/>
    </row>
    <row r="47" spans="1:13" ht="15" hidden="1">
      <c r="A47" s="7">
        <v>41183</v>
      </c>
      <c r="B47" s="37">
        <f t="shared" si="12"/>
        <v>74825.66666666667</v>
      </c>
      <c r="C47" s="33">
        <f t="shared" si="13"/>
        <v>299302.6666666667</v>
      </c>
      <c r="D47" s="33">
        <v>1255</v>
      </c>
      <c r="E47" s="33">
        <v>40357</v>
      </c>
      <c r="F47" s="33">
        <v>0</v>
      </c>
      <c r="G47" s="33">
        <f t="shared" si="8"/>
        <v>41612</v>
      </c>
      <c r="H47" s="33">
        <f t="shared" si="14"/>
        <v>183932</v>
      </c>
      <c r="I47" s="33">
        <f t="shared" si="11"/>
        <v>115370.66666666669</v>
      </c>
      <c r="J47" s="33">
        <f>H47/4</f>
        <v>45983</v>
      </c>
      <c r="K47" s="47">
        <v>1739</v>
      </c>
      <c r="L47" s="47">
        <v>1517</v>
      </c>
      <c r="M47" s="43"/>
    </row>
    <row r="48" spans="1:13" ht="15" hidden="1">
      <c r="A48" s="7">
        <v>41214</v>
      </c>
      <c r="B48" s="37">
        <f t="shared" si="12"/>
        <v>74825.66666666667</v>
      </c>
      <c r="C48" s="33">
        <f t="shared" si="13"/>
        <v>374128.3333333334</v>
      </c>
      <c r="D48" s="33">
        <v>378</v>
      </c>
      <c r="E48" s="33">
        <v>56778</v>
      </c>
      <c r="F48" s="33">
        <v>0</v>
      </c>
      <c r="G48" s="33">
        <f t="shared" si="8"/>
        <v>57156</v>
      </c>
      <c r="H48" s="33">
        <f t="shared" si="14"/>
        <v>241088</v>
      </c>
      <c r="I48" s="33">
        <f t="shared" si="11"/>
        <v>133040.33333333337</v>
      </c>
      <c r="J48" s="33">
        <f>H48/5</f>
        <v>48217.6</v>
      </c>
      <c r="K48" s="47">
        <v>1634</v>
      </c>
      <c r="L48" s="47">
        <v>1368</v>
      </c>
      <c r="M48" s="43"/>
    </row>
    <row r="49" spans="1:13" ht="15" hidden="1">
      <c r="A49" s="7">
        <v>41244</v>
      </c>
      <c r="B49" s="37">
        <f t="shared" si="12"/>
        <v>74825.66666666667</v>
      </c>
      <c r="C49" s="33">
        <f t="shared" si="13"/>
        <v>448954.00000000006</v>
      </c>
      <c r="D49" s="33">
        <v>400</v>
      </c>
      <c r="E49" s="33">
        <v>58724</v>
      </c>
      <c r="F49" s="33">
        <v>0</v>
      </c>
      <c r="G49" s="33">
        <f t="shared" si="8"/>
        <v>59124</v>
      </c>
      <c r="H49" s="33">
        <f t="shared" si="14"/>
        <v>300212</v>
      </c>
      <c r="I49" s="33">
        <f t="shared" si="11"/>
        <v>148742.00000000006</v>
      </c>
      <c r="J49" s="33">
        <f>H49/6</f>
        <v>50035.333333333336</v>
      </c>
      <c r="K49" s="47"/>
      <c r="L49" s="47"/>
      <c r="M49" s="43"/>
    </row>
    <row r="50" spans="1:13" ht="15" hidden="1">
      <c r="A50" s="7">
        <v>41275</v>
      </c>
      <c r="B50" s="37">
        <f t="shared" si="12"/>
        <v>74825.66666666667</v>
      </c>
      <c r="C50" s="33">
        <f t="shared" si="13"/>
        <v>523779.66666666674</v>
      </c>
      <c r="D50" s="33">
        <v>162</v>
      </c>
      <c r="E50" s="33">
        <v>41408</v>
      </c>
      <c r="F50" s="33">
        <v>0</v>
      </c>
      <c r="G50" s="33">
        <f t="shared" si="8"/>
        <v>41570</v>
      </c>
      <c r="H50" s="33">
        <f t="shared" si="14"/>
        <v>341782</v>
      </c>
      <c r="I50" s="33">
        <f t="shared" si="11"/>
        <v>181997.66666666674</v>
      </c>
      <c r="J50" s="33">
        <f>H50/7</f>
        <v>48826</v>
      </c>
      <c r="K50" s="47"/>
      <c r="L50" s="47"/>
      <c r="M50" s="43"/>
    </row>
    <row r="51" spans="1:13" ht="15" hidden="1">
      <c r="A51" s="7">
        <v>41306</v>
      </c>
      <c r="B51" s="37">
        <f t="shared" si="12"/>
        <v>74825.66666666667</v>
      </c>
      <c r="C51" s="33">
        <f t="shared" si="13"/>
        <v>598605.3333333334</v>
      </c>
      <c r="D51" s="33">
        <v>300</v>
      </c>
      <c r="E51" s="33">
        <v>51912</v>
      </c>
      <c r="F51" s="33">
        <v>0</v>
      </c>
      <c r="G51" s="33">
        <f t="shared" si="8"/>
        <v>52212</v>
      </c>
      <c r="H51" s="33">
        <f t="shared" si="14"/>
        <v>393994</v>
      </c>
      <c r="I51" s="33">
        <f t="shared" si="11"/>
        <v>204611.33333333337</v>
      </c>
      <c r="J51" s="33">
        <f>H51/8</f>
        <v>49249.25</v>
      </c>
      <c r="K51" s="47"/>
      <c r="L51" s="47"/>
      <c r="M51" s="43"/>
    </row>
    <row r="52" spans="1:13" ht="15" hidden="1">
      <c r="A52" s="7">
        <v>41334</v>
      </c>
      <c r="B52" s="37">
        <f t="shared" si="12"/>
        <v>74825.66666666667</v>
      </c>
      <c r="C52" s="33">
        <f t="shared" si="13"/>
        <v>673431</v>
      </c>
      <c r="D52" s="33">
        <v>151</v>
      </c>
      <c r="E52" s="33">
        <v>90390</v>
      </c>
      <c r="F52" s="33">
        <v>0</v>
      </c>
      <c r="G52" s="33">
        <f t="shared" si="8"/>
        <v>90541</v>
      </c>
      <c r="H52" s="33">
        <f t="shared" si="14"/>
        <v>484535</v>
      </c>
      <c r="I52" s="33">
        <f t="shared" si="11"/>
        <v>188896</v>
      </c>
      <c r="J52" s="33">
        <f>H52/9</f>
        <v>53837.22222222222</v>
      </c>
      <c r="K52" s="47"/>
      <c r="L52" s="47"/>
      <c r="M52" s="43"/>
    </row>
    <row r="53" spans="1:13" ht="15" hidden="1">
      <c r="A53" s="7">
        <v>41365</v>
      </c>
      <c r="B53" s="37">
        <f t="shared" si="12"/>
        <v>74825.66666666667</v>
      </c>
      <c r="C53" s="33">
        <f t="shared" si="13"/>
        <v>748256.6666666666</v>
      </c>
      <c r="D53" s="33">
        <v>200</v>
      </c>
      <c r="E53" s="33">
        <v>94472</v>
      </c>
      <c r="F53" s="33">
        <v>0</v>
      </c>
      <c r="G53" s="33">
        <f t="shared" si="8"/>
        <v>94672</v>
      </c>
      <c r="H53" s="33">
        <f t="shared" si="14"/>
        <v>579207</v>
      </c>
      <c r="I53" s="33">
        <f t="shared" si="11"/>
        <v>169049.66666666663</v>
      </c>
      <c r="J53" s="33">
        <f>H53/10</f>
        <v>57920.7</v>
      </c>
      <c r="K53" s="47"/>
      <c r="L53" s="47"/>
      <c r="M53" s="43"/>
    </row>
    <row r="54" spans="1:13" ht="15" hidden="1">
      <c r="A54" s="7">
        <v>41395</v>
      </c>
      <c r="B54" s="37">
        <f t="shared" si="12"/>
        <v>74825.66666666667</v>
      </c>
      <c r="C54" s="33">
        <f t="shared" si="13"/>
        <v>823082.3333333333</v>
      </c>
      <c r="D54" s="33">
        <v>200</v>
      </c>
      <c r="E54" s="33">
        <v>74674</v>
      </c>
      <c r="F54" s="33">
        <v>0</v>
      </c>
      <c r="G54" s="33">
        <f t="shared" si="8"/>
        <v>74874</v>
      </c>
      <c r="H54" s="33">
        <f t="shared" si="14"/>
        <v>654081</v>
      </c>
      <c r="I54" s="33">
        <f t="shared" si="11"/>
        <v>169001.33333333326</v>
      </c>
      <c r="J54" s="33">
        <f>H54/11</f>
        <v>59461.90909090909</v>
      </c>
      <c r="K54" s="47"/>
      <c r="L54" s="47"/>
      <c r="M54" s="43"/>
    </row>
    <row r="55" spans="1:13" ht="15.75" hidden="1" thickBot="1">
      <c r="A55" s="7">
        <v>41426</v>
      </c>
      <c r="B55" s="39">
        <f t="shared" si="12"/>
        <v>74825.66666666667</v>
      </c>
      <c r="C55" s="34">
        <f t="shared" si="13"/>
        <v>897907.9999999999</v>
      </c>
      <c r="D55" s="34">
        <v>359</v>
      </c>
      <c r="E55" s="34">
        <v>82568</v>
      </c>
      <c r="F55" s="34">
        <v>0</v>
      </c>
      <c r="G55" s="34">
        <f t="shared" si="8"/>
        <v>82927</v>
      </c>
      <c r="H55" s="34">
        <f t="shared" si="14"/>
        <v>737008</v>
      </c>
      <c r="I55" s="34">
        <f t="shared" si="11"/>
        <v>160899.99999999988</v>
      </c>
      <c r="J55" s="34">
        <f>H55/12</f>
        <v>61417.333333333336</v>
      </c>
      <c r="K55" s="35"/>
      <c r="L55" s="35"/>
      <c r="M55" s="41"/>
    </row>
    <row r="56" spans="1:13" ht="15" hidden="1">
      <c r="A56" s="7">
        <v>41456</v>
      </c>
      <c r="B56" s="37">
        <f>$B$91/24</f>
        <v>64397.791666666664</v>
      </c>
      <c r="C56" s="33">
        <f>B56</f>
        <v>64397.791666666664</v>
      </c>
      <c r="D56" s="33">
        <v>300</v>
      </c>
      <c r="E56" s="33">
        <v>57152</v>
      </c>
      <c r="F56" s="33">
        <v>0</v>
      </c>
      <c r="G56" s="33">
        <f t="shared" si="8"/>
        <v>57452</v>
      </c>
      <c r="H56" s="33">
        <f>G56</f>
        <v>57452</v>
      </c>
      <c r="I56" s="33">
        <f t="shared" si="11"/>
        <v>6945.791666666664</v>
      </c>
      <c r="J56" s="33">
        <f>H56</f>
        <v>57452</v>
      </c>
      <c r="K56" s="47">
        <v>1348</v>
      </c>
      <c r="L56" s="47">
        <v>1540</v>
      </c>
      <c r="M56" s="43"/>
    </row>
    <row r="57" spans="1:13" ht="15" hidden="1">
      <c r="A57" s="7">
        <v>41487</v>
      </c>
      <c r="B57" s="37">
        <f aca="true" t="shared" si="15" ref="B57:B79">$B$91/24</f>
        <v>64397.791666666664</v>
      </c>
      <c r="C57" s="33">
        <f aca="true" t="shared" si="16" ref="C57:C79">C56+B57</f>
        <v>128795.58333333333</v>
      </c>
      <c r="D57" s="33">
        <v>102</v>
      </c>
      <c r="E57" s="33">
        <v>51691</v>
      </c>
      <c r="F57" s="33">
        <v>0</v>
      </c>
      <c r="G57" s="33">
        <f t="shared" si="8"/>
        <v>51793</v>
      </c>
      <c r="H57" s="33">
        <f aca="true" t="shared" si="17" ref="H57:H62">G57+H56</f>
        <v>109245</v>
      </c>
      <c r="I57" s="33">
        <f t="shared" si="11"/>
        <v>19550.58333333333</v>
      </c>
      <c r="J57" s="33">
        <f>H57/2</f>
        <v>54622.5</v>
      </c>
      <c r="K57" s="47">
        <v>1356</v>
      </c>
      <c r="L57" s="47">
        <v>1589</v>
      </c>
      <c r="M57" s="43"/>
    </row>
    <row r="58" spans="1:13" ht="15" hidden="1">
      <c r="A58" s="7">
        <v>41518</v>
      </c>
      <c r="B58" s="37">
        <f t="shared" si="15"/>
        <v>64397.791666666664</v>
      </c>
      <c r="C58" s="33">
        <f t="shared" si="16"/>
        <v>193193.375</v>
      </c>
      <c r="D58" s="33">
        <v>300</v>
      </c>
      <c r="E58" s="33">
        <v>54411</v>
      </c>
      <c r="F58" s="33">
        <v>0</v>
      </c>
      <c r="G58" s="33">
        <f t="shared" si="8"/>
        <v>54711</v>
      </c>
      <c r="H58" s="33">
        <f t="shared" si="17"/>
        <v>163956</v>
      </c>
      <c r="I58" s="33">
        <f t="shared" si="11"/>
        <v>29237.375</v>
      </c>
      <c r="J58" s="33">
        <f>H58/3</f>
        <v>54652</v>
      </c>
      <c r="K58" s="47">
        <v>1347</v>
      </c>
      <c r="L58" s="47">
        <v>1580</v>
      </c>
      <c r="M58" s="43"/>
    </row>
    <row r="59" spans="1:13" ht="15" hidden="1">
      <c r="A59" s="7">
        <v>41548</v>
      </c>
      <c r="B59" s="37">
        <f t="shared" si="15"/>
        <v>64397.791666666664</v>
      </c>
      <c r="C59" s="33">
        <f t="shared" si="16"/>
        <v>257591.16666666666</v>
      </c>
      <c r="D59" s="33">
        <v>0</v>
      </c>
      <c r="E59" s="33">
        <v>53969.89</v>
      </c>
      <c r="F59" s="33">
        <v>0</v>
      </c>
      <c r="G59" s="33">
        <f t="shared" si="8"/>
        <v>53969.89</v>
      </c>
      <c r="H59" s="33">
        <f t="shared" si="17"/>
        <v>217925.89</v>
      </c>
      <c r="I59" s="33">
        <f t="shared" si="11"/>
        <v>39665.27666666664</v>
      </c>
      <c r="J59" s="33">
        <f>H59/4</f>
        <v>54481.4725</v>
      </c>
      <c r="K59" s="47">
        <v>1344</v>
      </c>
      <c r="L59" s="47">
        <v>1666</v>
      </c>
      <c r="M59" s="43"/>
    </row>
    <row r="60" spans="1:13" ht="15" hidden="1">
      <c r="A60" s="7">
        <v>41579</v>
      </c>
      <c r="B60" s="37">
        <f t="shared" si="15"/>
        <v>64397.791666666664</v>
      </c>
      <c r="C60" s="33">
        <f t="shared" si="16"/>
        <v>321988.9583333333</v>
      </c>
      <c r="D60" s="33">
        <v>0</v>
      </c>
      <c r="E60" s="33">
        <v>37993.39</v>
      </c>
      <c r="F60" s="33">
        <v>0</v>
      </c>
      <c r="G60" s="33">
        <f t="shared" si="8"/>
        <v>37993.39</v>
      </c>
      <c r="H60" s="33">
        <f t="shared" si="17"/>
        <v>255919.28000000003</v>
      </c>
      <c r="I60" s="33">
        <f aca="true" t="shared" si="18" ref="I60:I65">C60-H60</f>
        <v>66069.67833333329</v>
      </c>
      <c r="J60" s="33">
        <f>H60/5</f>
        <v>51183.85600000001</v>
      </c>
      <c r="K60" s="47">
        <v>1344</v>
      </c>
      <c r="L60" s="47">
        <v>1480</v>
      </c>
      <c r="M60" s="43"/>
    </row>
    <row r="61" spans="1:13" ht="15" hidden="1">
      <c r="A61" s="7">
        <v>41609</v>
      </c>
      <c r="B61" s="37">
        <f t="shared" si="15"/>
        <v>64397.791666666664</v>
      </c>
      <c r="C61" s="33">
        <f t="shared" si="16"/>
        <v>386386.75</v>
      </c>
      <c r="D61" s="33">
        <v>0</v>
      </c>
      <c r="E61" s="33">
        <v>44061.52</v>
      </c>
      <c r="F61" s="33">
        <v>0</v>
      </c>
      <c r="G61" s="33">
        <f t="shared" si="8"/>
        <v>44061.52</v>
      </c>
      <c r="H61" s="33">
        <f t="shared" si="17"/>
        <v>299980.80000000005</v>
      </c>
      <c r="I61" s="33">
        <f t="shared" si="18"/>
        <v>86405.94999999995</v>
      </c>
      <c r="J61" s="33">
        <f>H61/6</f>
        <v>49996.80000000001</v>
      </c>
      <c r="K61" s="47">
        <v>1336</v>
      </c>
      <c r="L61" s="47">
        <v>1496</v>
      </c>
      <c r="M61" s="43"/>
    </row>
    <row r="62" spans="1:13" ht="15" hidden="1">
      <c r="A62" s="7">
        <v>41640</v>
      </c>
      <c r="B62" s="37">
        <f t="shared" si="15"/>
        <v>64397.791666666664</v>
      </c>
      <c r="C62" s="33">
        <f t="shared" si="16"/>
        <v>450784.5416666667</v>
      </c>
      <c r="D62" s="33">
        <v>100</v>
      </c>
      <c r="E62" s="33">
        <v>44403.48</v>
      </c>
      <c r="F62" s="33">
        <v>0</v>
      </c>
      <c r="G62" s="33">
        <f t="shared" si="8"/>
        <v>44503.48</v>
      </c>
      <c r="H62" s="33">
        <f t="shared" si="17"/>
        <v>344484.28</v>
      </c>
      <c r="I62" s="33">
        <f t="shared" si="18"/>
        <v>106300.26166666666</v>
      </c>
      <c r="J62" s="33">
        <f>H62/7</f>
        <v>49212.04</v>
      </c>
      <c r="K62" s="47">
        <v>1400</v>
      </c>
      <c r="L62" s="47">
        <v>1541</v>
      </c>
      <c r="M62" s="43"/>
    </row>
    <row r="63" spans="1:13" ht="15" hidden="1">
      <c r="A63" s="7">
        <v>41671</v>
      </c>
      <c r="B63" s="37">
        <f t="shared" si="15"/>
        <v>64397.791666666664</v>
      </c>
      <c r="C63" s="33">
        <f t="shared" si="16"/>
        <v>515182.3333333334</v>
      </c>
      <c r="D63" s="33">
        <v>300</v>
      </c>
      <c r="E63" s="33">
        <v>49261.6</v>
      </c>
      <c r="F63" s="33">
        <v>0</v>
      </c>
      <c r="G63" s="33">
        <f t="shared" si="8"/>
        <v>49561.6</v>
      </c>
      <c r="H63" s="33">
        <f aca="true" t="shared" si="19" ref="H63:H68">G63+H62</f>
        <v>394045.88</v>
      </c>
      <c r="I63" s="33">
        <f t="shared" si="18"/>
        <v>121136.45333333337</v>
      </c>
      <c r="J63" s="33">
        <f>H63/8</f>
        <v>49255.735</v>
      </c>
      <c r="K63" s="47">
        <v>1404</v>
      </c>
      <c r="L63" s="47">
        <v>1589</v>
      </c>
      <c r="M63" s="43"/>
    </row>
    <row r="64" spans="1:13" ht="15" hidden="1">
      <c r="A64" s="7">
        <v>41699</v>
      </c>
      <c r="B64" s="37">
        <f t="shared" si="15"/>
        <v>64397.791666666664</v>
      </c>
      <c r="C64" s="33">
        <f t="shared" si="16"/>
        <v>579580.125</v>
      </c>
      <c r="D64" s="33">
        <v>100</v>
      </c>
      <c r="E64" s="33">
        <v>45171.59</v>
      </c>
      <c r="F64" s="33">
        <v>0</v>
      </c>
      <c r="G64" s="33">
        <f t="shared" si="8"/>
        <v>45271.59</v>
      </c>
      <c r="H64" s="33">
        <f t="shared" si="19"/>
        <v>439317.47</v>
      </c>
      <c r="I64" s="33">
        <f t="shared" si="18"/>
        <v>140262.65500000003</v>
      </c>
      <c r="J64" s="33">
        <f>H64/9</f>
        <v>48813.05222222222</v>
      </c>
      <c r="K64" s="47">
        <v>1372</v>
      </c>
      <c r="L64" s="47">
        <v>1681</v>
      </c>
      <c r="M64" s="43"/>
    </row>
    <row r="65" spans="1:13" ht="15" hidden="1">
      <c r="A65" s="7">
        <v>41730</v>
      </c>
      <c r="B65" s="37">
        <f t="shared" si="15"/>
        <v>64397.791666666664</v>
      </c>
      <c r="C65" s="33">
        <f t="shared" si="16"/>
        <v>643977.9166666666</v>
      </c>
      <c r="D65" s="33">
        <v>0</v>
      </c>
      <c r="E65" s="33">
        <v>40345.72</v>
      </c>
      <c r="F65" s="33">
        <v>0</v>
      </c>
      <c r="G65" s="33">
        <f t="shared" si="8"/>
        <v>40345.72</v>
      </c>
      <c r="H65" s="33">
        <f t="shared" si="19"/>
        <v>479663.18999999994</v>
      </c>
      <c r="I65" s="33">
        <f t="shared" si="18"/>
        <v>164314.72666666668</v>
      </c>
      <c r="J65" s="33">
        <f>H65/10</f>
        <v>47966.318999999996</v>
      </c>
      <c r="K65" s="47">
        <v>1333</v>
      </c>
      <c r="L65" s="47">
        <v>1558</v>
      </c>
      <c r="M65" s="43"/>
    </row>
    <row r="66" spans="1:13" ht="15" hidden="1">
      <c r="A66" s="7">
        <v>41760</v>
      </c>
      <c r="B66" s="37">
        <f t="shared" si="15"/>
        <v>64397.791666666664</v>
      </c>
      <c r="C66" s="33">
        <f t="shared" si="16"/>
        <v>708375.7083333333</v>
      </c>
      <c r="D66" s="33">
        <v>106</v>
      </c>
      <c r="E66" s="33">
        <v>54186.4</v>
      </c>
      <c r="F66" s="33">
        <v>0</v>
      </c>
      <c r="G66" s="33">
        <f t="shared" si="8"/>
        <v>54292.4</v>
      </c>
      <c r="H66" s="33">
        <f t="shared" si="19"/>
        <v>533955.59</v>
      </c>
      <c r="I66" s="33">
        <f aca="true" t="shared" si="20" ref="I66:I71">C66-H66</f>
        <v>174420.1183333333</v>
      </c>
      <c r="J66" s="33">
        <f>H66/11</f>
        <v>48541.41727272727</v>
      </c>
      <c r="K66" s="47">
        <v>1263</v>
      </c>
      <c r="L66" s="47">
        <v>1645</v>
      </c>
      <c r="M66" s="43"/>
    </row>
    <row r="67" spans="1:13" ht="15" hidden="1">
      <c r="A67" s="7">
        <v>41791</v>
      </c>
      <c r="B67" s="37">
        <f t="shared" si="15"/>
        <v>64397.791666666664</v>
      </c>
      <c r="C67" s="33">
        <f t="shared" si="16"/>
        <v>772773.4999999999</v>
      </c>
      <c r="D67" s="33">
        <v>0</v>
      </c>
      <c r="E67" s="33">
        <v>53822</v>
      </c>
      <c r="F67" s="33">
        <v>0</v>
      </c>
      <c r="G67" s="33">
        <f t="shared" si="8"/>
        <v>53822</v>
      </c>
      <c r="H67" s="33">
        <f t="shared" si="19"/>
        <v>587777.59</v>
      </c>
      <c r="I67" s="33">
        <f t="shared" si="20"/>
        <v>184995.90999999992</v>
      </c>
      <c r="J67" s="33">
        <f>H67/12</f>
        <v>48981.46583333333</v>
      </c>
      <c r="K67" s="47">
        <v>1223</v>
      </c>
      <c r="L67" s="47">
        <v>1567</v>
      </c>
      <c r="M67" s="43"/>
    </row>
    <row r="68" spans="1:13" ht="15">
      <c r="A68" s="7">
        <v>41821</v>
      </c>
      <c r="B68" s="37">
        <f t="shared" si="15"/>
        <v>64397.791666666664</v>
      </c>
      <c r="C68" s="33">
        <f t="shared" si="16"/>
        <v>837171.2916666665</v>
      </c>
      <c r="D68" s="33">
        <v>0</v>
      </c>
      <c r="E68" s="33">
        <v>66788</v>
      </c>
      <c r="F68" s="33">
        <v>0</v>
      </c>
      <c r="G68" s="33">
        <f t="shared" si="8"/>
        <v>66788</v>
      </c>
      <c r="H68" s="33">
        <f t="shared" si="19"/>
        <v>654565.59</v>
      </c>
      <c r="I68" s="33">
        <f t="shared" si="20"/>
        <v>182605.70166666654</v>
      </c>
      <c r="J68" s="33">
        <f>H68/13</f>
        <v>50351.19923076923</v>
      </c>
      <c r="K68" s="47">
        <v>1209</v>
      </c>
      <c r="L68" s="47">
        <v>1490</v>
      </c>
      <c r="M68" s="43"/>
    </row>
    <row r="69" spans="1:13" ht="15">
      <c r="A69" s="7">
        <v>41852</v>
      </c>
      <c r="B69" s="37">
        <f t="shared" si="15"/>
        <v>64397.791666666664</v>
      </c>
      <c r="C69" s="33">
        <f t="shared" si="16"/>
        <v>901569.0833333331</v>
      </c>
      <c r="D69" s="33">
        <v>0</v>
      </c>
      <c r="E69" s="33">
        <v>56059</v>
      </c>
      <c r="F69" s="33">
        <v>0</v>
      </c>
      <c r="G69" s="33">
        <f t="shared" si="8"/>
        <v>56059</v>
      </c>
      <c r="H69" s="33">
        <f aca="true" t="shared" si="21" ref="H69:H74">G69+H68</f>
        <v>710624.59</v>
      </c>
      <c r="I69" s="33">
        <f t="shared" si="20"/>
        <v>190944.49333333317</v>
      </c>
      <c r="J69" s="33">
        <f>H69/14</f>
        <v>50758.89928571428</v>
      </c>
      <c r="K69" s="47">
        <v>1147</v>
      </c>
      <c r="L69" s="47">
        <v>1521</v>
      </c>
      <c r="M69" s="43"/>
    </row>
    <row r="70" spans="1:13" ht="15">
      <c r="A70" s="7">
        <v>41883</v>
      </c>
      <c r="B70" s="37">
        <f t="shared" si="15"/>
        <v>64397.791666666664</v>
      </c>
      <c r="C70" s="33">
        <f t="shared" si="16"/>
        <v>965966.8749999998</v>
      </c>
      <c r="D70" s="33">
        <v>0</v>
      </c>
      <c r="E70" s="33">
        <v>83865</v>
      </c>
      <c r="F70" s="33">
        <v>0</v>
      </c>
      <c r="G70" s="33">
        <f t="shared" si="8"/>
        <v>83865</v>
      </c>
      <c r="H70" s="33">
        <f t="shared" si="21"/>
        <v>794489.59</v>
      </c>
      <c r="I70" s="33">
        <f t="shared" si="20"/>
        <v>171477.2849999998</v>
      </c>
      <c r="J70" s="33">
        <f>H70/15</f>
        <v>52965.97266666666</v>
      </c>
      <c r="K70" s="47">
        <v>1114</v>
      </c>
      <c r="L70" s="47">
        <v>1658</v>
      </c>
      <c r="M70" s="43"/>
    </row>
    <row r="71" spans="1:13" ht="15">
      <c r="A71" s="7">
        <v>41913</v>
      </c>
      <c r="B71" s="37">
        <f t="shared" si="15"/>
        <v>64397.791666666664</v>
      </c>
      <c r="C71" s="33">
        <f t="shared" si="16"/>
        <v>1030364.6666666664</v>
      </c>
      <c r="D71" s="33">
        <v>225</v>
      </c>
      <c r="E71" s="33">
        <v>74844</v>
      </c>
      <c r="F71" s="33">
        <v>0</v>
      </c>
      <c r="G71" s="33">
        <f t="shared" si="8"/>
        <v>75069</v>
      </c>
      <c r="H71" s="33">
        <f t="shared" si="21"/>
        <v>869558.59</v>
      </c>
      <c r="I71" s="33">
        <f t="shared" si="20"/>
        <v>160806.07666666643</v>
      </c>
      <c r="J71" s="33">
        <f>H71/16</f>
        <v>54347.411875</v>
      </c>
      <c r="K71" s="47">
        <v>1101</v>
      </c>
      <c r="L71" s="47">
        <v>1609</v>
      </c>
      <c r="M71" s="43"/>
    </row>
    <row r="72" spans="1:13" ht="15">
      <c r="A72" s="7">
        <v>41944</v>
      </c>
      <c r="B72" s="37">
        <f t="shared" si="15"/>
        <v>64397.791666666664</v>
      </c>
      <c r="C72" s="33">
        <f t="shared" si="16"/>
        <v>1094762.458333333</v>
      </c>
      <c r="D72" s="33">
        <v>0</v>
      </c>
      <c r="E72" s="33">
        <v>77625</v>
      </c>
      <c r="F72" s="33">
        <v>0</v>
      </c>
      <c r="G72" s="33">
        <f t="shared" si="8"/>
        <v>77625</v>
      </c>
      <c r="H72" s="33">
        <f t="shared" si="21"/>
        <v>947183.59</v>
      </c>
      <c r="I72" s="33">
        <f>C72-H72</f>
        <v>147578.86833333306</v>
      </c>
      <c r="J72" s="33">
        <f>H72/17</f>
        <v>55716.68176470588</v>
      </c>
      <c r="K72" s="47">
        <v>1080</v>
      </c>
      <c r="L72" s="47">
        <v>1549</v>
      </c>
      <c r="M72" s="43"/>
    </row>
    <row r="73" spans="1:13" ht="15">
      <c r="A73" s="7">
        <v>41974</v>
      </c>
      <c r="B73" s="37">
        <f t="shared" si="15"/>
        <v>64397.791666666664</v>
      </c>
      <c r="C73" s="33">
        <f t="shared" si="16"/>
        <v>1159160.2499999998</v>
      </c>
      <c r="D73" s="33">
        <v>0</v>
      </c>
      <c r="E73" s="33">
        <v>72031</v>
      </c>
      <c r="F73" s="33">
        <v>0</v>
      </c>
      <c r="G73" s="33">
        <f t="shared" si="8"/>
        <v>72031</v>
      </c>
      <c r="H73" s="33">
        <f t="shared" si="21"/>
        <v>1019214.59</v>
      </c>
      <c r="I73" s="33">
        <f>C73-H73</f>
        <v>139945.6599999998</v>
      </c>
      <c r="J73" s="33">
        <f>H73/18</f>
        <v>56623.03277777778</v>
      </c>
      <c r="K73" s="47">
        <v>1045</v>
      </c>
      <c r="L73" s="47">
        <v>1405</v>
      </c>
      <c r="M73" s="43"/>
    </row>
    <row r="74" spans="1:13" ht="15">
      <c r="A74" s="7">
        <v>42005</v>
      </c>
      <c r="B74" s="37">
        <f t="shared" si="15"/>
        <v>64397.791666666664</v>
      </c>
      <c r="C74" s="33">
        <f t="shared" si="16"/>
        <v>1223558.0416666665</v>
      </c>
      <c r="D74" s="33">
        <v>0</v>
      </c>
      <c r="E74" s="33">
        <v>75661</v>
      </c>
      <c r="F74" s="33">
        <v>0</v>
      </c>
      <c r="G74" s="33">
        <f t="shared" si="8"/>
        <v>75661</v>
      </c>
      <c r="H74" s="33">
        <f t="shared" si="21"/>
        <v>1094875.5899999999</v>
      </c>
      <c r="I74" s="33">
        <f>C74-H74</f>
        <v>128682.45166666666</v>
      </c>
      <c r="J74" s="33">
        <f>H74/19</f>
        <v>57625.03105263157</v>
      </c>
      <c r="K74" s="47">
        <v>1041</v>
      </c>
      <c r="L74" s="47">
        <v>1461</v>
      </c>
      <c r="M74" s="43"/>
    </row>
    <row r="75" spans="1:13" ht="15">
      <c r="A75" s="7">
        <v>42036</v>
      </c>
      <c r="B75" s="37">
        <f t="shared" si="15"/>
        <v>64397.791666666664</v>
      </c>
      <c r="C75" s="33">
        <f t="shared" si="16"/>
        <v>1287955.8333333333</v>
      </c>
      <c r="D75" s="33"/>
      <c r="E75" s="33"/>
      <c r="F75" s="33"/>
      <c r="G75" s="33"/>
      <c r="H75" s="33"/>
      <c r="I75" s="33"/>
      <c r="J75" s="33"/>
      <c r="K75" s="47"/>
      <c r="L75" s="47"/>
      <c r="M75" s="43"/>
    </row>
    <row r="76" spans="1:13" ht="15">
      <c r="A76" s="7">
        <v>42064</v>
      </c>
      <c r="B76" s="37">
        <f t="shared" si="15"/>
        <v>64397.791666666664</v>
      </c>
      <c r="C76" s="33">
        <f t="shared" si="16"/>
        <v>1352353.625</v>
      </c>
      <c r="D76" s="33"/>
      <c r="E76" s="33"/>
      <c r="F76" s="33"/>
      <c r="G76" s="33"/>
      <c r="H76" s="33"/>
      <c r="I76" s="33"/>
      <c r="J76" s="33"/>
      <c r="K76" s="47"/>
      <c r="L76" s="47"/>
      <c r="M76" s="43"/>
    </row>
    <row r="77" spans="1:13" ht="15">
      <c r="A77" s="7">
        <v>42095</v>
      </c>
      <c r="B77" s="37">
        <f t="shared" si="15"/>
        <v>64397.791666666664</v>
      </c>
      <c r="C77" s="33">
        <f t="shared" si="16"/>
        <v>1416751.4166666667</v>
      </c>
      <c r="D77" s="33"/>
      <c r="E77" s="33"/>
      <c r="F77" s="33"/>
      <c r="G77" s="33"/>
      <c r="H77" s="33"/>
      <c r="I77" s="33"/>
      <c r="J77" s="33"/>
      <c r="K77" s="47"/>
      <c r="L77" s="47"/>
      <c r="M77" s="43"/>
    </row>
    <row r="78" spans="1:13" ht="15">
      <c r="A78" s="7">
        <v>42125</v>
      </c>
      <c r="B78" s="37">
        <f t="shared" si="15"/>
        <v>64397.791666666664</v>
      </c>
      <c r="C78" s="33">
        <f t="shared" si="16"/>
        <v>1481149.2083333335</v>
      </c>
      <c r="D78" s="33"/>
      <c r="E78" s="33"/>
      <c r="F78" s="33"/>
      <c r="G78" s="33"/>
      <c r="H78" s="33"/>
      <c r="I78" s="33"/>
      <c r="J78" s="33"/>
      <c r="K78" s="47"/>
      <c r="L78" s="47"/>
      <c r="M78" s="43"/>
    </row>
    <row r="79" spans="1:13" ht="15">
      <c r="A79" s="7">
        <v>42156</v>
      </c>
      <c r="B79" s="37">
        <f t="shared" si="15"/>
        <v>64397.791666666664</v>
      </c>
      <c r="C79" s="33">
        <f t="shared" si="16"/>
        <v>1545547.0000000002</v>
      </c>
      <c r="D79" s="33"/>
      <c r="E79" s="33"/>
      <c r="F79" s="33"/>
      <c r="G79" s="33"/>
      <c r="H79" s="33"/>
      <c r="I79" s="33"/>
      <c r="J79" s="33"/>
      <c r="K79" s="47"/>
      <c r="L79" s="47"/>
      <c r="M79" s="43"/>
    </row>
    <row r="80" spans="1:13" ht="15">
      <c r="A80" s="7"/>
      <c r="B80" s="37"/>
      <c r="C80" s="33"/>
      <c r="D80" s="33"/>
      <c r="E80" s="33"/>
      <c r="F80" s="33"/>
      <c r="G80" s="33"/>
      <c r="H80" s="33"/>
      <c r="I80" s="33"/>
      <c r="J80" s="33"/>
      <c r="K80" s="47"/>
      <c r="L80" s="47"/>
      <c r="M80" s="43"/>
    </row>
    <row r="81" spans="1:13" ht="15" hidden="1">
      <c r="A81" s="20" t="s">
        <v>21</v>
      </c>
      <c r="B81" s="25">
        <v>1695001</v>
      </c>
      <c r="C81" s="25">
        <f>SUM(B8:B19)</f>
        <v>1695000.9999999998</v>
      </c>
      <c r="D81" s="25">
        <f>SUM(D8:D19)</f>
        <v>264920</v>
      </c>
      <c r="E81" s="25">
        <f>SUM(E8:E19)</f>
        <v>1667178</v>
      </c>
      <c r="F81" s="25"/>
      <c r="G81" s="25">
        <f>SUM(G8:G19)</f>
        <v>1932098</v>
      </c>
      <c r="H81" s="25">
        <f>G81</f>
        <v>1932098</v>
      </c>
      <c r="I81" s="25">
        <f>I20</f>
        <v>18631.599999999977</v>
      </c>
      <c r="J81" s="25">
        <f>J19</f>
        <v>210097</v>
      </c>
      <c r="K81" s="30">
        <f>SUM(K8:K19)</f>
        <v>9014</v>
      </c>
      <c r="L81" s="30">
        <f>SUM(L8:L19)</f>
        <v>9980</v>
      </c>
      <c r="M81" s="30">
        <f>SUM(M8:M19)</f>
        <v>1201</v>
      </c>
    </row>
    <row r="82" spans="1:13" ht="15" hidden="1">
      <c r="A82" s="20" t="s">
        <v>22</v>
      </c>
      <c r="B82" s="25">
        <v>2808255</v>
      </c>
      <c r="C82" s="25">
        <f>C31</f>
        <v>2808254.9999999995</v>
      </c>
      <c r="D82" s="25">
        <f>SUM(D20:D31)</f>
        <v>157999</v>
      </c>
      <c r="E82" s="25">
        <f>SUM(E20:E31)</f>
        <v>2256285</v>
      </c>
      <c r="F82" s="25"/>
      <c r="G82" s="25">
        <f>SUM(G20:G31)</f>
        <v>2414284</v>
      </c>
      <c r="H82" s="25">
        <f>G82</f>
        <v>2414284</v>
      </c>
      <c r="I82" s="25">
        <f>I31</f>
        <v>393970.99999999953</v>
      </c>
      <c r="J82" s="25">
        <f>AVERAGE(G20:G31)</f>
        <v>201190.33333333334</v>
      </c>
      <c r="K82" s="30">
        <f>SUM(K20:K31)</f>
        <v>15652</v>
      </c>
      <c r="L82" s="30">
        <f>SUM(L20:L31)</f>
        <v>11783</v>
      </c>
      <c r="M82" s="30">
        <f>SUM(M20:M31)</f>
        <v>2932</v>
      </c>
    </row>
    <row r="83" spans="1:13" ht="15" hidden="1">
      <c r="A83" s="20" t="s">
        <v>23</v>
      </c>
      <c r="B83" s="25">
        <f>SUM(B81:B82)</f>
        <v>4503256</v>
      </c>
      <c r="C83" s="25">
        <f>SUM(C81:C82)</f>
        <v>4503255.999999999</v>
      </c>
      <c r="D83" s="25">
        <f>D81+D82</f>
        <v>422919</v>
      </c>
      <c r="E83" s="25">
        <f>E81+E82</f>
        <v>3923463</v>
      </c>
      <c r="F83" s="25"/>
      <c r="G83" s="25">
        <f>G81+G82</f>
        <v>4346382</v>
      </c>
      <c r="H83" s="25">
        <f>H81+H82</f>
        <v>4346382</v>
      </c>
      <c r="I83" s="25"/>
      <c r="J83" s="25">
        <f>AVERAGE(G8:G31)</f>
        <v>181099.25</v>
      </c>
      <c r="K83" s="27">
        <f>SUM(K81:K82)</f>
        <v>24666</v>
      </c>
      <c r="L83" s="27">
        <f>SUM(L81:L82)</f>
        <v>21763</v>
      </c>
      <c r="M83" s="27">
        <f>SUM(M81:M82)</f>
        <v>4133</v>
      </c>
    </row>
    <row r="84" spans="1:12" ht="15" hidden="1">
      <c r="A84" s="20"/>
      <c r="B84" s="25"/>
      <c r="C84" s="25"/>
      <c r="D84" s="25"/>
      <c r="E84" s="25"/>
      <c r="F84" s="25"/>
      <c r="G84" s="25"/>
      <c r="H84" s="25"/>
      <c r="I84" s="25"/>
      <c r="J84" s="25"/>
      <c r="K84" s="27"/>
      <c r="L84" s="27"/>
    </row>
    <row r="85" spans="1:13" ht="15" hidden="1">
      <c r="A85" s="20" t="s">
        <v>24</v>
      </c>
      <c r="B85" s="25">
        <v>590244</v>
      </c>
      <c r="C85" s="25">
        <f>C43</f>
        <v>590244</v>
      </c>
      <c r="D85" s="25">
        <f>SUM(D32:D43)</f>
        <v>778</v>
      </c>
      <c r="E85" s="25">
        <f>SUM(E32:E43)</f>
        <v>188411.5</v>
      </c>
      <c r="F85" s="25">
        <f>SUM(F32:F74)</f>
        <v>-0.5</v>
      </c>
      <c r="G85" s="25">
        <f>SUM(G32:G43)</f>
        <v>189189</v>
      </c>
      <c r="H85" s="25">
        <f>G85</f>
        <v>189189</v>
      </c>
      <c r="I85" s="25">
        <f>I43</f>
        <v>401055</v>
      </c>
      <c r="J85" s="25">
        <f>AVERAGE(G32:G43)</f>
        <v>15765.75</v>
      </c>
      <c r="K85" s="30">
        <f>SUM(K32:K43)</f>
        <v>24900</v>
      </c>
      <c r="L85" s="30">
        <f>SUM(L32:L43)</f>
        <v>27453</v>
      </c>
      <c r="M85" s="4">
        <f>SUM(M32:M43)</f>
        <v>1976</v>
      </c>
    </row>
    <row r="86" spans="1:13" ht="15" hidden="1">
      <c r="A86" s="20" t="s">
        <v>25</v>
      </c>
      <c r="B86" s="25">
        <v>897908</v>
      </c>
      <c r="C86" s="25">
        <f>SUM(B44:B55)</f>
        <v>897907.9999999999</v>
      </c>
      <c r="D86" s="25">
        <f>SUM(D44:D55)</f>
        <v>3967</v>
      </c>
      <c r="E86" s="25">
        <f>SUM(E44:E55)</f>
        <v>733041</v>
      </c>
      <c r="F86" s="25">
        <f>SUM(F44:F55)</f>
        <v>0</v>
      </c>
      <c r="G86" s="25">
        <f>SUM(G44:G55)</f>
        <v>737008</v>
      </c>
      <c r="H86" s="25">
        <f>G86</f>
        <v>737008</v>
      </c>
      <c r="I86" s="25">
        <f>I55</f>
        <v>160899.99999999988</v>
      </c>
      <c r="J86" s="25">
        <f>J55</f>
        <v>61417.333333333336</v>
      </c>
      <c r="K86" s="30">
        <f>SUM(K44:K55)</f>
        <v>8636</v>
      </c>
      <c r="L86" s="30">
        <f>SUM(L44:L55)</f>
        <v>8020</v>
      </c>
      <c r="M86" s="44">
        <f>SUM(M44:M55)</f>
        <v>0</v>
      </c>
    </row>
    <row r="87" spans="1:13" ht="15" hidden="1">
      <c r="A87" s="20" t="s">
        <v>26</v>
      </c>
      <c r="B87" s="25">
        <f>B85+B86</f>
        <v>1488152</v>
      </c>
      <c r="C87" s="25">
        <f aca="true" t="shared" si="22" ref="C87:M87">SUM(C85:C86)</f>
        <v>1488152</v>
      </c>
      <c r="D87" s="25">
        <f t="shared" si="22"/>
        <v>4745</v>
      </c>
      <c r="E87" s="25">
        <f t="shared" si="22"/>
        <v>921452.5</v>
      </c>
      <c r="F87" s="25">
        <f t="shared" si="22"/>
        <v>-0.5</v>
      </c>
      <c r="G87" s="25">
        <f t="shared" si="22"/>
        <v>926197</v>
      </c>
      <c r="H87" s="25">
        <f t="shared" si="22"/>
        <v>926197</v>
      </c>
      <c r="I87" s="25">
        <f t="shared" si="22"/>
        <v>561954.9999999999</v>
      </c>
      <c r="J87" s="25">
        <f t="shared" si="22"/>
        <v>77183.08333333334</v>
      </c>
      <c r="K87" s="27">
        <f t="shared" si="22"/>
        <v>33536</v>
      </c>
      <c r="L87" s="27">
        <f t="shared" si="22"/>
        <v>35473</v>
      </c>
      <c r="M87" s="27">
        <f t="shared" si="22"/>
        <v>1976</v>
      </c>
    </row>
    <row r="88" spans="1:13" ht="15" hidden="1">
      <c r="A88" s="20"/>
      <c r="B88" s="25"/>
      <c r="C88" s="25"/>
      <c r="D88" s="25"/>
      <c r="E88" s="25"/>
      <c r="F88" s="25"/>
      <c r="G88" s="25"/>
      <c r="H88" s="25"/>
      <c r="I88" s="25"/>
      <c r="J88" s="25"/>
      <c r="K88" s="27"/>
      <c r="L88" s="27"/>
      <c r="M88" s="27"/>
    </row>
    <row r="89" spans="1:13" s="56" customFormat="1" ht="18" hidden="1">
      <c r="A89" s="52" t="s">
        <v>27</v>
      </c>
      <c r="B89" s="53">
        <f>1562085/2</f>
        <v>781042.5</v>
      </c>
      <c r="C89" s="53">
        <f>C67</f>
        <v>772773.4999999999</v>
      </c>
      <c r="D89" s="53">
        <f>SUM(D56:D67)</f>
        <v>1308</v>
      </c>
      <c r="E89" s="53">
        <f>SUM(E56:E67)</f>
        <v>586469.59</v>
      </c>
      <c r="F89" s="53">
        <f>SUM(F56:F67)</f>
        <v>0</v>
      </c>
      <c r="G89" s="53">
        <f>SUM(G56:G67)</f>
        <v>587777.59</v>
      </c>
      <c r="H89" s="53">
        <f>H67</f>
        <v>587777.59</v>
      </c>
      <c r="I89" s="53">
        <f>I67</f>
        <v>184995.90999999992</v>
      </c>
      <c r="J89" s="53">
        <f>J67</f>
        <v>48981.46583333333</v>
      </c>
      <c r="K89" s="54">
        <f>SUM(K56:K67)</f>
        <v>16070</v>
      </c>
      <c r="L89" s="54">
        <f>SUM(L56:L67)</f>
        <v>18932</v>
      </c>
      <c r="M89" s="55"/>
    </row>
    <row r="90" spans="1:13" s="56" customFormat="1" ht="18" hidden="1">
      <c r="A90" s="52" t="s">
        <v>28</v>
      </c>
      <c r="B90" s="53">
        <f>1562085/2</f>
        <v>781042.5</v>
      </c>
      <c r="C90" s="53">
        <v>781042.5</v>
      </c>
      <c r="D90" s="53">
        <f>SUM(D68:D79)</f>
        <v>225</v>
      </c>
      <c r="E90" s="53">
        <f>SUM(E68:E79)</f>
        <v>506873</v>
      </c>
      <c r="F90" s="53">
        <f>SUM(F68:F79)</f>
        <v>0</v>
      </c>
      <c r="G90" s="53">
        <f>SUM(G68:G79)</f>
        <v>507098</v>
      </c>
      <c r="H90" s="55"/>
      <c r="I90" s="58"/>
      <c r="J90" s="53"/>
      <c r="K90" s="54">
        <f>SUM(K68:K79)</f>
        <v>7737</v>
      </c>
      <c r="L90" s="54">
        <f>SUM(L68:L79)</f>
        <v>10693</v>
      </c>
      <c r="M90" s="55"/>
    </row>
    <row r="91" spans="1:13" ht="18">
      <c r="A91" s="20" t="s">
        <v>29</v>
      </c>
      <c r="B91" s="8">
        <v>1545547</v>
      </c>
      <c r="C91" s="8">
        <f>C79</f>
        <v>1545547.0000000002</v>
      </c>
      <c r="D91" s="8">
        <f aca="true" t="shared" si="23" ref="D91:L91">D89+D90</f>
        <v>1533</v>
      </c>
      <c r="E91" s="8">
        <f t="shared" si="23"/>
        <v>1093342.5899999999</v>
      </c>
      <c r="F91" s="8">
        <f t="shared" si="23"/>
        <v>0</v>
      </c>
      <c r="G91" s="8">
        <f t="shared" si="23"/>
        <v>1094875.5899999999</v>
      </c>
      <c r="H91" s="8">
        <f>H74</f>
        <v>1094875.5899999999</v>
      </c>
      <c r="I91" s="8">
        <f>I74</f>
        <v>128682.45166666666</v>
      </c>
      <c r="J91" s="8">
        <f>J74</f>
        <v>57625.03105263157</v>
      </c>
      <c r="K91" s="9">
        <f t="shared" si="23"/>
        <v>23807</v>
      </c>
      <c r="L91" s="9">
        <f t="shared" si="23"/>
        <v>29625</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2:7" ht="15">
      <c r="B100" s="29"/>
      <c r="C100" s="29"/>
      <c r="D100" s="29"/>
      <c r="E100" s="29"/>
      <c r="F100" s="29"/>
      <c r="G100" s="29"/>
    </row>
    <row r="101" spans="1:7" ht="18">
      <c r="A101" s="5"/>
      <c r="B101" s="29"/>
      <c r="C101" s="29"/>
      <c r="D101" s="29"/>
      <c r="E101" s="29"/>
      <c r="F101" s="29"/>
      <c r="G101" s="29"/>
    </row>
    <row r="102" spans="1:7" ht="15">
      <c r="A102" s="20"/>
      <c r="B102" s="29"/>
      <c r="C102" s="29"/>
      <c r="D102" s="29"/>
      <c r="E102" s="29"/>
      <c r="F102" s="29"/>
      <c r="G102" s="29"/>
    </row>
    <row r="103" spans="1:7" ht="15">
      <c r="A103" s="20"/>
      <c r="B103" s="29"/>
      <c r="C103" s="29"/>
      <c r="D103" s="29"/>
      <c r="E103" s="29"/>
      <c r="F103" s="29"/>
      <c r="G103"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100"/>
  <sheetViews>
    <sheetView tabSelected="1" zoomScale="75" zoomScaleNormal="75" zoomScalePageLayoutView="0" workbookViewId="0" topLeftCell="A1">
      <pane xSplit="1" ySplit="7" topLeftCell="B73" activePane="bottomRight" state="frozen"/>
      <selection pane="topLeft" activeCell="A65" sqref="A65"/>
      <selection pane="topRight" activeCell="A1" sqref="A1"/>
      <selection pane="bottomLeft" activeCell="A1" sqref="A1"/>
      <selection pane="bottomRight" activeCell="L74" sqref="L74"/>
    </sheetView>
  </sheetViews>
  <sheetFormatPr defaultColWidth="6.28125" defaultRowHeight="12.75"/>
  <cols>
    <col min="1" max="1" width="26.57421875" style="0" customWidth="1"/>
    <col min="2" max="2" width="20.8515625" style="4" customWidth="1"/>
    <col min="3" max="3" width="20.140625" style="4" customWidth="1"/>
    <col min="4" max="4" width="16.00390625" style="4" customWidth="1"/>
    <col min="5" max="5" width="17.00390625" style="4" customWidth="1"/>
    <col min="6" max="6" width="16.28125" style="4" customWidth="1"/>
    <col min="7" max="7" width="24.57421875" style="4" customWidth="1"/>
    <col min="8" max="8" width="17.421875" style="4" customWidth="1"/>
    <col min="9" max="9" width="15.28125" style="4" customWidth="1"/>
    <col min="10" max="10" width="17.7109375" style="4" customWidth="1"/>
    <col min="11" max="11" width="17.140625" style="4" customWidth="1"/>
    <col min="12" max="12" width="12.7109375" style="4" customWidth="1"/>
    <col min="13" max="13" width="9.00390625" style="4" hidden="1" customWidth="1"/>
  </cols>
  <sheetData>
    <row r="1" spans="1:10" ht="18">
      <c r="A1" s="1" t="s">
        <v>0</v>
      </c>
      <c r="B1" s="2"/>
      <c r="C1" s="3"/>
      <c r="D1" s="3"/>
      <c r="E1" s="3"/>
      <c r="F1" s="3"/>
      <c r="G1" s="2"/>
      <c r="H1" s="2"/>
      <c r="I1" s="2"/>
      <c r="J1" s="2"/>
    </row>
    <row r="2" spans="1:2" ht="18">
      <c r="A2" s="5" t="s">
        <v>39</v>
      </c>
      <c r="B2" s="6"/>
    </row>
    <row r="3" spans="2:8" ht="12.75">
      <c r="B3" s="2"/>
      <c r="C3" s="2"/>
      <c r="D3" s="2"/>
      <c r="E3" s="2"/>
      <c r="F3" s="2"/>
      <c r="G3" s="2"/>
      <c r="H3" s="2"/>
    </row>
    <row r="4" spans="2:13" ht="12.75">
      <c r="B4" s="4" t="s">
        <v>40</v>
      </c>
      <c r="C4" s="2" t="s">
        <v>43</v>
      </c>
      <c r="D4" s="4" t="s">
        <v>3</v>
      </c>
      <c r="E4" s="4" t="s">
        <v>4</v>
      </c>
      <c r="F4" s="4" t="s">
        <v>5</v>
      </c>
      <c r="G4" s="4" t="s">
        <v>41</v>
      </c>
      <c r="H4" s="4" t="s">
        <v>42</v>
      </c>
      <c r="I4" s="2" t="s">
        <v>43</v>
      </c>
      <c r="J4" s="2" t="s">
        <v>43</v>
      </c>
      <c r="K4" s="4" t="s">
        <v>7</v>
      </c>
      <c r="L4" s="4" t="s">
        <v>8</v>
      </c>
      <c r="M4" s="4" t="s">
        <v>9</v>
      </c>
    </row>
    <row r="5" spans="2:13" ht="12.75">
      <c r="B5" s="4" t="s">
        <v>10</v>
      </c>
      <c r="C5" s="4" t="s">
        <v>10</v>
      </c>
      <c r="D5" s="4" t="s">
        <v>10</v>
      </c>
      <c r="E5" s="4" t="s">
        <v>10</v>
      </c>
      <c r="F5" s="4" t="s">
        <v>10</v>
      </c>
      <c r="G5" s="4" t="s">
        <v>10</v>
      </c>
      <c r="H5" s="4" t="s">
        <v>10</v>
      </c>
      <c r="I5" s="4" t="s">
        <v>1</v>
      </c>
      <c r="J5" s="4" t="s">
        <v>44</v>
      </c>
      <c r="K5" s="4" t="s">
        <v>11</v>
      </c>
      <c r="L5" s="4" t="s">
        <v>12</v>
      </c>
      <c r="M5" s="4" t="s">
        <v>13</v>
      </c>
    </row>
    <row r="6" spans="2:13" ht="12.75">
      <c r="B6" s="4" t="s">
        <v>14</v>
      </c>
      <c r="C6" s="4" t="s">
        <v>14</v>
      </c>
      <c r="D6" s="4" t="s">
        <v>15</v>
      </c>
      <c r="E6" s="4" t="s">
        <v>15</v>
      </c>
      <c r="F6" s="4" t="s">
        <v>15</v>
      </c>
      <c r="G6" s="4" t="s">
        <v>16</v>
      </c>
      <c r="H6" s="4" t="s">
        <v>15</v>
      </c>
      <c r="I6" s="4" t="s">
        <v>17</v>
      </c>
      <c r="J6" s="4" t="s">
        <v>18</v>
      </c>
      <c r="L6" s="4" t="s">
        <v>19</v>
      </c>
      <c r="M6" s="4" t="s">
        <v>20</v>
      </c>
    </row>
    <row r="7" spans="4:8" ht="12.75">
      <c r="D7" s="2"/>
      <c r="E7" s="2"/>
      <c r="F7" s="2"/>
      <c r="G7" s="2"/>
      <c r="H7" s="2"/>
    </row>
    <row r="8" spans="1:12" ht="15" hidden="1">
      <c r="A8" s="7">
        <v>39264</v>
      </c>
      <c r="B8" s="25" t="e">
        <f>#N/A</f>
        <v>#N/A</v>
      </c>
      <c r="C8" s="25" t="e">
        <f>#N/A</f>
        <v>#N/A</v>
      </c>
      <c r="D8" s="25" t="e">
        <f>#N/A</f>
        <v>#N/A</v>
      </c>
      <c r="E8" s="25" t="e">
        <f>#N/A</f>
        <v>#N/A</v>
      </c>
      <c r="F8" s="25"/>
      <c r="G8" s="25" t="e">
        <f aca="true" t="shared" si="0" ref="G8:G31">D8+E8</f>
        <v>#N/A</v>
      </c>
      <c r="H8" s="25" t="e">
        <f>G8</f>
        <v>#N/A</v>
      </c>
      <c r="I8" s="25" t="e">
        <f aca="true" t="shared" si="1" ref="I8:I31">C8-H8</f>
        <v>#N/A</v>
      </c>
      <c r="J8" s="25" t="e">
        <f>H8</f>
        <v>#N/A</v>
      </c>
      <c r="K8" s="30">
        <v>9137</v>
      </c>
      <c r="L8" s="30" t="e">
        <f>#N/A</f>
        <v>#N/A</v>
      </c>
    </row>
    <row r="9" spans="1:12" ht="15" hidden="1">
      <c r="A9" s="7">
        <v>39295</v>
      </c>
      <c r="B9" s="25" t="e">
        <f>#N/A</f>
        <v>#N/A</v>
      </c>
      <c r="C9" s="25" t="e">
        <f>#N/A</f>
        <v>#N/A</v>
      </c>
      <c r="D9" s="25" t="e">
        <f>#N/A</f>
        <v>#N/A</v>
      </c>
      <c r="E9" s="25" t="e">
        <f>#N/A</f>
        <v>#N/A</v>
      </c>
      <c r="F9" s="25"/>
      <c r="G9" s="25" t="e">
        <f t="shared" si="0"/>
        <v>#N/A</v>
      </c>
      <c r="H9" s="25" t="e">
        <f aca="true" t="shared" si="2" ref="H9:H19">H8+G9</f>
        <v>#N/A</v>
      </c>
      <c r="I9" s="25" t="e">
        <f t="shared" si="1"/>
        <v>#N/A</v>
      </c>
      <c r="J9" s="25" t="e">
        <f>AVERAGE(G8:G9)</f>
        <v>#N/A</v>
      </c>
      <c r="K9" s="30">
        <v>9189</v>
      </c>
      <c r="L9" s="30" t="e">
        <f>#N/A</f>
        <v>#N/A</v>
      </c>
    </row>
    <row r="10" spans="1:12" ht="15" hidden="1">
      <c r="A10" s="7">
        <v>39326</v>
      </c>
      <c r="B10" s="25" t="e">
        <f>#N/A</f>
        <v>#N/A</v>
      </c>
      <c r="C10" s="25" t="e">
        <f>#N/A</f>
        <v>#N/A</v>
      </c>
      <c r="D10" s="25" t="e">
        <f>#N/A</f>
        <v>#N/A</v>
      </c>
      <c r="E10" s="25" t="e">
        <f>#N/A</f>
        <v>#N/A</v>
      </c>
      <c r="F10" s="25"/>
      <c r="G10" s="25" t="e">
        <f t="shared" si="0"/>
        <v>#N/A</v>
      </c>
      <c r="H10" s="25" t="e">
        <f t="shared" si="2"/>
        <v>#N/A</v>
      </c>
      <c r="I10" s="25" t="e">
        <f t="shared" si="1"/>
        <v>#N/A</v>
      </c>
      <c r="J10" s="25" t="e">
        <f>AVERAGE(G8:G10)</f>
        <v>#N/A</v>
      </c>
      <c r="K10" s="30">
        <v>9792</v>
      </c>
      <c r="L10" s="30" t="e">
        <f>#N/A</f>
        <v>#N/A</v>
      </c>
    </row>
    <row r="11" spans="1:13" ht="15" hidden="1">
      <c r="A11" s="7">
        <v>39356</v>
      </c>
      <c r="B11" s="25" t="e">
        <f>#N/A</f>
        <v>#N/A</v>
      </c>
      <c r="C11" s="25" t="e">
        <f>#N/A</f>
        <v>#N/A</v>
      </c>
      <c r="D11" s="25" t="e">
        <f>#N/A</f>
        <v>#N/A</v>
      </c>
      <c r="E11" s="25" t="e">
        <f>#N/A</f>
        <v>#N/A</v>
      </c>
      <c r="F11" s="25"/>
      <c r="G11" s="25" t="e">
        <f t="shared" si="0"/>
        <v>#N/A</v>
      </c>
      <c r="H11" s="25" t="e">
        <f t="shared" si="2"/>
        <v>#N/A</v>
      </c>
      <c r="I11" s="25" t="e">
        <f t="shared" si="1"/>
        <v>#N/A</v>
      </c>
      <c r="J11" s="25" t="e">
        <f>AVERAGE(G8:G11)</f>
        <v>#N/A</v>
      </c>
      <c r="K11" s="30">
        <v>9898</v>
      </c>
      <c r="L11" s="30" t="e">
        <f>#N/A</f>
        <v>#N/A</v>
      </c>
      <c r="M11" s="30" t="e">
        <f>#N/A</f>
        <v>#N/A</v>
      </c>
    </row>
    <row r="12" spans="1:13" ht="15" hidden="1">
      <c r="A12" s="7">
        <v>39387</v>
      </c>
      <c r="B12" s="25" t="e">
        <f>#N/A</f>
        <v>#N/A</v>
      </c>
      <c r="C12" s="25" t="e">
        <f>#N/A</f>
        <v>#N/A</v>
      </c>
      <c r="D12" s="25" t="e">
        <f>#N/A</f>
        <v>#N/A</v>
      </c>
      <c r="E12" s="25" t="e">
        <f>#N/A</f>
        <v>#N/A</v>
      </c>
      <c r="F12" s="25"/>
      <c r="G12" s="25" t="e">
        <f t="shared" si="0"/>
        <v>#N/A</v>
      </c>
      <c r="H12" s="25" t="e">
        <f t="shared" si="2"/>
        <v>#N/A</v>
      </c>
      <c r="I12" s="25" t="e">
        <f t="shared" si="1"/>
        <v>#N/A</v>
      </c>
      <c r="J12" s="25" t="e">
        <f>AVERAGE(G8:G12)</f>
        <v>#N/A</v>
      </c>
      <c r="K12" s="30">
        <v>9810</v>
      </c>
      <c r="L12" s="30" t="e">
        <f>#N/A</f>
        <v>#N/A</v>
      </c>
      <c r="M12" s="30" t="e">
        <f>#N/A</f>
        <v>#N/A</v>
      </c>
    </row>
    <row r="13" spans="1:13" ht="15" hidden="1">
      <c r="A13" s="7">
        <v>39417</v>
      </c>
      <c r="B13" s="25" t="e">
        <f>#N/A</f>
        <v>#N/A</v>
      </c>
      <c r="C13" s="25" t="e">
        <f>#N/A</f>
        <v>#N/A</v>
      </c>
      <c r="D13" s="25" t="e">
        <f>#N/A</f>
        <v>#N/A</v>
      </c>
      <c r="E13" s="25" t="e">
        <f>#N/A</f>
        <v>#N/A</v>
      </c>
      <c r="F13" s="25"/>
      <c r="G13" s="25" t="e">
        <f t="shared" si="0"/>
        <v>#N/A</v>
      </c>
      <c r="H13" s="25" t="e">
        <f t="shared" si="2"/>
        <v>#N/A</v>
      </c>
      <c r="I13" s="25" t="e">
        <f t="shared" si="1"/>
        <v>#N/A</v>
      </c>
      <c r="J13" s="25" t="e">
        <f>AVERAGE(G12:G13)</f>
        <v>#N/A</v>
      </c>
      <c r="K13" s="30">
        <v>10201</v>
      </c>
      <c r="L13" s="30" t="e">
        <f>#N/A</f>
        <v>#N/A</v>
      </c>
      <c r="M13" s="30" t="e">
        <f>#N/A</f>
        <v>#N/A</v>
      </c>
    </row>
    <row r="14" spans="1:13" ht="15" hidden="1">
      <c r="A14" s="7">
        <v>39448</v>
      </c>
      <c r="B14" s="25" t="e">
        <f>#N/A</f>
        <v>#N/A</v>
      </c>
      <c r="C14" s="25" t="e">
        <f>#N/A</f>
        <v>#N/A</v>
      </c>
      <c r="D14" s="25" t="e">
        <f>#N/A</f>
        <v>#N/A</v>
      </c>
      <c r="E14" s="25" t="e">
        <f>#N/A</f>
        <v>#N/A</v>
      </c>
      <c r="F14" s="25"/>
      <c r="G14" s="25" t="e">
        <f t="shared" si="0"/>
        <v>#N/A</v>
      </c>
      <c r="H14" s="25" t="e">
        <f t="shared" si="2"/>
        <v>#N/A</v>
      </c>
      <c r="I14" s="25" t="e">
        <f t="shared" si="1"/>
        <v>#N/A</v>
      </c>
      <c r="J14" s="25" t="e">
        <f>AVERAGE(G12:G14)</f>
        <v>#N/A</v>
      </c>
      <c r="K14" s="30">
        <v>10840</v>
      </c>
      <c r="L14" s="30" t="e">
        <f>#N/A</f>
        <v>#N/A</v>
      </c>
      <c r="M14" s="30" t="e">
        <f>#N/A</f>
        <v>#N/A</v>
      </c>
    </row>
    <row r="15" spans="1:13" ht="15" hidden="1">
      <c r="A15" s="7">
        <v>39479</v>
      </c>
      <c r="B15" s="25" t="e">
        <f>#N/A</f>
        <v>#N/A</v>
      </c>
      <c r="C15" s="25" t="e">
        <f>#N/A</f>
        <v>#N/A</v>
      </c>
      <c r="D15" s="25" t="e">
        <f>#N/A</f>
        <v>#N/A</v>
      </c>
      <c r="E15" s="25" t="e">
        <f>#N/A</f>
        <v>#N/A</v>
      </c>
      <c r="F15" s="25"/>
      <c r="G15" s="25" t="e">
        <f t="shared" si="0"/>
        <v>#N/A</v>
      </c>
      <c r="H15" s="25" t="e">
        <f t="shared" si="2"/>
        <v>#N/A</v>
      </c>
      <c r="I15" s="25" t="e">
        <f t="shared" si="1"/>
        <v>#N/A</v>
      </c>
      <c r="J15" s="25" t="e">
        <f>AVERAGE(G12:G15)</f>
        <v>#N/A</v>
      </c>
      <c r="K15" s="30">
        <v>11324</v>
      </c>
      <c r="L15" s="30" t="e">
        <f>#N/A</f>
        <v>#N/A</v>
      </c>
      <c r="M15" s="30" t="e">
        <f>#N/A</f>
        <v>#N/A</v>
      </c>
    </row>
    <row r="16" spans="1:13" ht="15" hidden="1">
      <c r="A16" s="7">
        <v>39508</v>
      </c>
      <c r="B16" s="25" t="e">
        <f>#N/A</f>
        <v>#N/A</v>
      </c>
      <c r="C16" s="25" t="e">
        <f>#N/A</f>
        <v>#N/A</v>
      </c>
      <c r="D16" s="25" t="e">
        <f>#N/A</f>
        <v>#N/A</v>
      </c>
      <c r="E16" s="25" t="e">
        <f>#N/A</f>
        <v>#N/A</v>
      </c>
      <c r="F16" s="25"/>
      <c r="G16" s="25" t="e">
        <f t="shared" si="0"/>
        <v>#N/A</v>
      </c>
      <c r="H16" s="25" t="e">
        <f t="shared" si="2"/>
        <v>#N/A</v>
      </c>
      <c r="I16" s="25" t="e">
        <f t="shared" si="1"/>
        <v>#N/A</v>
      </c>
      <c r="J16" s="25" t="e">
        <f>AVERAGE(G12:G16)</f>
        <v>#N/A</v>
      </c>
      <c r="K16" s="30">
        <v>11818</v>
      </c>
      <c r="L16" s="30" t="e">
        <f>#N/A</f>
        <v>#N/A</v>
      </c>
      <c r="M16" s="30">
        <v>9559</v>
      </c>
    </row>
    <row r="17" spans="1:13" ht="15" hidden="1">
      <c r="A17" s="7">
        <v>39539</v>
      </c>
      <c r="B17" s="25" t="e">
        <f>#N/A</f>
        <v>#N/A</v>
      </c>
      <c r="C17" s="25" t="e">
        <f>#N/A</f>
        <v>#N/A</v>
      </c>
      <c r="D17" s="25" t="e">
        <f>#N/A</f>
        <v>#N/A</v>
      </c>
      <c r="E17" s="25" t="e">
        <f>#N/A</f>
        <v>#N/A</v>
      </c>
      <c r="F17" s="25"/>
      <c r="G17" s="25" t="e">
        <f t="shared" si="0"/>
        <v>#N/A</v>
      </c>
      <c r="H17" s="25" t="e">
        <f t="shared" si="2"/>
        <v>#N/A</v>
      </c>
      <c r="I17" s="25" t="e">
        <f t="shared" si="1"/>
        <v>#N/A</v>
      </c>
      <c r="J17" s="25" t="e">
        <f>AVERAGE(G14:G17)</f>
        <v>#N/A</v>
      </c>
      <c r="K17" s="30">
        <v>12146</v>
      </c>
      <c r="L17" s="30" t="e">
        <f>#N/A</f>
        <v>#N/A</v>
      </c>
      <c r="M17" s="30" t="e">
        <f>#N/A</f>
        <v>#N/A</v>
      </c>
    </row>
    <row r="18" spans="1:13" ht="15" hidden="1">
      <c r="A18" s="7">
        <v>39569</v>
      </c>
      <c r="B18" s="33" t="e">
        <f>#N/A</f>
        <v>#N/A</v>
      </c>
      <c r="C18" s="33" t="e">
        <f>#N/A</f>
        <v>#N/A</v>
      </c>
      <c r="D18" s="25" t="e">
        <f>#N/A</f>
        <v>#N/A</v>
      </c>
      <c r="E18" s="25" t="e">
        <f>#N/A</f>
        <v>#N/A</v>
      </c>
      <c r="F18" s="33"/>
      <c r="G18" s="25" t="e">
        <f t="shared" si="0"/>
        <v>#N/A</v>
      </c>
      <c r="H18" s="25" t="e">
        <f t="shared" si="2"/>
        <v>#N/A</v>
      </c>
      <c r="I18" s="25" t="e">
        <f t="shared" si="1"/>
        <v>#N/A</v>
      </c>
      <c r="J18" s="25" t="e">
        <f>AVERAGE(G14:G18)</f>
        <v>#N/A</v>
      </c>
      <c r="K18" s="30">
        <v>12510</v>
      </c>
      <c r="L18" s="30" t="e">
        <f>#N/A</f>
        <v>#N/A</v>
      </c>
      <c r="M18" s="30" t="e">
        <f>#N/A</f>
        <v>#N/A</v>
      </c>
    </row>
    <row r="19" spans="1:13" ht="15.75" hidden="1" thickBot="1">
      <c r="A19" s="7">
        <v>39600</v>
      </c>
      <c r="B19" s="34" t="e">
        <f>#N/A</f>
        <v>#N/A</v>
      </c>
      <c r="C19" s="34" t="e">
        <f>C18+B19</f>
        <v>#N/A</v>
      </c>
      <c r="D19" s="34" t="e">
        <f>#N/A</f>
        <v>#N/A</v>
      </c>
      <c r="E19" s="34" t="e">
        <f>#N/A</f>
        <v>#N/A</v>
      </c>
      <c r="F19" s="34"/>
      <c r="G19" s="34" t="e">
        <f t="shared" si="0"/>
        <v>#N/A</v>
      </c>
      <c r="H19" s="34" t="e">
        <f t="shared" si="2"/>
        <v>#N/A</v>
      </c>
      <c r="I19" s="34" t="e">
        <f t="shared" si="1"/>
        <v>#N/A</v>
      </c>
      <c r="J19" s="34" t="e">
        <f>AVERAGE(G15:G19)</f>
        <v>#N/A</v>
      </c>
      <c r="K19" s="35">
        <v>12779</v>
      </c>
      <c r="L19" s="35" t="e">
        <f>#N/A</f>
        <v>#N/A</v>
      </c>
      <c r="M19" s="35" t="e">
        <f>#N/A</f>
        <v>#N/A</v>
      </c>
    </row>
    <row r="20" spans="1:13" ht="15" hidden="1">
      <c r="A20" s="7">
        <v>39630</v>
      </c>
      <c r="B20" s="25" t="e">
        <f>#N/A</f>
        <v>#N/A</v>
      </c>
      <c r="C20" s="25" t="e">
        <f>#N/A</f>
        <v>#N/A</v>
      </c>
      <c r="D20" s="33" t="e">
        <f>#N/A</f>
        <v>#N/A</v>
      </c>
      <c r="E20" s="33" t="e">
        <f>#N/A</f>
        <v>#N/A</v>
      </c>
      <c r="F20" s="33"/>
      <c r="G20" s="33" t="e">
        <f t="shared" si="0"/>
        <v>#N/A</v>
      </c>
      <c r="H20" s="33" t="e">
        <f>G20</f>
        <v>#N/A</v>
      </c>
      <c r="I20" s="33" t="e">
        <f t="shared" si="1"/>
        <v>#N/A</v>
      </c>
      <c r="J20" s="33" t="e">
        <f>H20</f>
        <v>#N/A</v>
      </c>
      <c r="K20" s="30" t="e">
        <f>#N/A</f>
        <v>#N/A</v>
      </c>
      <c r="L20" s="30" t="e">
        <f>#N/A</f>
        <v>#N/A</v>
      </c>
      <c r="M20" s="30" t="e">
        <f>#N/A</f>
        <v>#N/A</v>
      </c>
    </row>
    <row r="21" spans="1:13" ht="15" hidden="1">
      <c r="A21" s="7">
        <v>39661</v>
      </c>
      <c r="B21" s="25" t="e">
        <f>#N/A</f>
        <v>#N/A</v>
      </c>
      <c r="C21" s="25" t="e">
        <f>#N/A</f>
        <v>#N/A</v>
      </c>
      <c r="D21" s="33" t="e">
        <f>#N/A</f>
        <v>#N/A</v>
      </c>
      <c r="E21" s="33" t="e">
        <f>#N/A</f>
        <v>#N/A</v>
      </c>
      <c r="F21" s="33"/>
      <c r="G21" s="33" t="e">
        <f t="shared" si="0"/>
        <v>#N/A</v>
      </c>
      <c r="H21" s="33" t="e">
        <f aca="true" t="shared" si="3" ref="H21:H31">H20+G21</f>
        <v>#N/A</v>
      </c>
      <c r="I21" s="33" t="e">
        <f t="shared" si="1"/>
        <v>#N/A</v>
      </c>
      <c r="J21" s="33" t="e">
        <f>H21/2</f>
        <v>#N/A</v>
      </c>
      <c r="K21" s="30" t="e">
        <f>#N/A</f>
        <v>#N/A</v>
      </c>
      <c r="L21" s="30" t="e">
        <f>#N/A</f>
        <v>#N/A</v>
      </c>
      <c r="M21" s="30" t="e">
        <f>#N/A</f>
        <v>#N/A</v>
      </c>
    </row>
    <row r="22" spans="1:13" ht="15" hidden="1">
      <c r="A22" s="7">
        <v>39692</v>
      </c>
      <c r="B22" s="25" t="e">
        <f>#N/A</f>
        <v>#N/A</v>
      </c>
      <c r="C22" s="25" t="e">
        <f>#N/A</f>
        <v>#N/A</v>
      </c>
      <c r="D22" s="33" t="e">
        <f>#N/A</f>
        <v>#N/A</v>
      </c>
      <c r="E22" s="33" t="e">
        <f>#N/A</f>
        <v>#N/A</v>
      </c>
      <c r="F22" s="33"/>
      <c r="G22" s="33" t="e">
        <f t="shared" si="0"/>
        <v>#N/A</v>
      </c>
      <c r="H22" s="33" t="e">
        <f t="shared" si="3"/>
        <v>#N/A</v>
      </c>
      <c r="I22" s="33" t="e">
        <f t="shared" si="1"/>
        <v>#N/A</v>
      </c>
      <c r="J22" s="33" t="e">
        <f>H22/3</f>
        <v>#N/A</v>
      </c>
      <c r="K22" s="30" t="e">
        <f>#N/A</f>
        <v>#N/A</v>
      </c>
      <c r="L22" s="30" t="e">
        <f>#N/A</f>
        <v>#N/A</v>
      </c>
      <c r="M22" s="30" t="e">
        <f>#N/A</f>
        <v>#N/A</v>
      </c>
    </row>
    <row r="23" spans="1:13" ht="15" hidden="1">
      <c r="A23" s="7">
        <v>39722</v>
      </c>
      <c r="B23" s="25" t="e">
        <f>#N/A</f>
        <v>#N/A</v>
      </c>
      <c r="C23" s="25" t="e">
        <f>#N/A</f>
        <v>#N/A</v>
      </c>
      <c r="D23" s="33" t="e">
        <f>#N/A</f>
        <v>#N/A</v>
      </c>
      <c r="E23" s="33" t="e">
        <f>#N/A</f>
        <v>#N/A</v>
      </c>
      <c r="F23" s="33"/>
      <c r="G23" s="33" t="e">
        <f t="shared" si="0"/>
        <v>#N/A</v>
      </c>
      <c r="H23" s="33" t="e">
        <f t="shared" si="3"/>
        <v>#N/A</v>
      </c>
      <c r="I23" s="33" t="e">
        <f t="shared" si="1"/>
        <v>#N/A</v>
      </c>
      <c r="J23" s="33" t="e">
        <f>H23/4</f>
        <v>#N/A</v>
      </c>
      <c r="K23" s="30" t="e">
        <f>#N/A</f>
        <v>#N/A</v>
      </c>
      <c r="L23" s="30" t="e">
        <f>#N/A</f>
        <v>#N/A</v>
      </c>
      <c r="M23" s="30" t="e">
        <f>#N/A</f>
        <v>#N/A</v>
      </c>
    </row>
    <row r="24" spans="1:13" ht="15" hidden="1">
      <c r="A24" s="7">
        <v>39753</v>
      </c>
      <c r="B24" s="25" t="e">
        <f>#N/A</f>
        <v>#N/A</v>
      </c>
      <c r="C24" s="25" t="e">
        <f>#N/A</f>
        <v>#N/A</v>
      </c>
      <c r="D24" s="33" t="e">
        <f>#N/A</f>
        <v>#N/A</v>
      </c>
      <c r="E24" s="33" t="e">
        <f>#N/A</f>
        <v>#N/A</v>
      </c>
      <c r="F24" s="33"/>
      <c r="G24" s="33" t="e">
        <f t="shared" si="0"/>
        <v>#N/A</v>
      </c>
      <c r="H24" s="33" t="e">
        <f t="shared" si="3"/>
        <v>#N/A</v>
      </c>
      <c r="I24" s="33" t="e">
        <f t="shared" si="1"/>
        <v>#N/A</v>
      </c>
      <c r="J24" s="33" t="e">
        <f>H24/5</f>
        <v>#N/A</v>
      </c>
      <c r="K24" s="30" t="e">
        <f>#N/A</f>
        <v>#N/A</v>
      </c>
      <c r="L24" s="30" t="e">
        <f>#N/A</f>
        <v>#N/A</v>
      </c>
      <c r="M24" s="30" t="e">
        <f>#N/A</f>
        <v>#N/A</v>
      </c>
    </row>
    <row r="25" spans="1:13" ht="15" hidden="1">
      <c r="A25" s="7">
        <v>39783</v>
      </c>
      <c r="B25" s="25" t="e">
        <f>#N/A</f>
        <v>#N/A</v>
      </c>
      <c r="C25" s="25" t="e">
        <f>#N/A</f>
        <v>#N/A</v>
      </c>
      <c r="D25" s="33" t="e">
        <f>#N/A</f>
        <v>#N/A</v>
      </c>
      <c r="E25" s="33" t="e">
        <f>#N/A</f>
        <v>#N/A</v>
      </c>
      <c r="F25" s="33"/>
      <c r="G25" s="33" t="e">
        <f t="shared" si="0"/>
        <v>#N/A</v>
      </c>
      <c r="H25" s="33" t="e">
        <f t="shared" si="3"/>
        <v>#N/A</v>
      </c>
      <c r="I25" s="33" t="e">
        <f t="shared" si="1"/>
        <v>#N/A</v>
      </c>
      <c r="J25" s="33" t="e">
        <f>H25/6</f>
        <v>#N/A</v>
      </c>
      <c r="K25" s="30" t="e">
        <f>#N/A</f>
        <v>#N/A</v>
      </c>
      <c r="L25" s="30" t="e">
        <f>#N/A</f>
        <v>#N/A</v>
      </c>
      <c r="M25" s="30" t="e">
        <f>#N/A</f>
        <v>#N/A</v>
      </c>
    </row>
    <row r="26" spans="1:13" ht="15" hidden="1">
      <c r="A26" s="7">
        <v>39814</v>
      </c>
      <c r="B26" s="25" t="e">
        <f>#N/A</f>
        <v>#N/A</v>
      </c>
      <c r="C26" s="25" t="e">
        <f>#N/A</f>
        <v>#N/A</v>
      </c>
      <c r="D26" s="33" t="e">
        <f>#N/A</f>
        <v>#N/A</v>
      </c>
      <c r="E26" s="33" t="e">
        <f>#N/A</f>
        <v>#N/A</v>
      </c>
      <c r="F26" s="33"/>
      <c r="G26" s="33" t="e">
        <f t="shared" si="0"/>
        <v>#N/A</v>
      </c>
      <c r="H26" s="33" t="e">
        <f t="shared" si="3"/>
        <v>#N/A</v>
      </c>
      <c r="I26" s="33" t="e">
        <f t="shared" si="1"/>
        <v>#N/A</v>
      </c>
      <c r="J26" s="33" t="e">
        <f>H26/7</f>
        <v>#N/A</v>
      </c>
      <c r="K26" s="30" t="e">
        <f>#N/A</f>
        <v>#N/A</v>
      </c>
      <c r="L26" s="30" t="e">
        <f>#N/A</f>
        <v>#N/A</v>
      </c>
      <c r="M26" s="30" t="e">
        <f>#N/A</f>
        <v>#N/A</v>
      </c>
    </row>
    <row r="27" spans="1:13" ht="15" hidden="1">
      <c r="A27" s="7">
        <v>39845</v>
      </c>
      <c r="B27" s="25" t="e">
        <f>#N/A</f>
        <v>#N/A</v>
      </c>
      <c r="C27" s="25" t="e">
        <f>#N/A</f>
        <v>#N/A</v>
      </c>
      <c r="D27" s="33" t="e">
        <f>#N/A</f>
        <v>#N/A</v>
      </c>
      <c r="E27" s="33" t="e">
        <f>#N/A</f>
        <v>#N/A</v>
      </c>
      <c r="F27" s="33"/>
      <c r="G27" s="33" t="e">
        <f t="shared" si="0"/>
        <v>#N/A</v>
      </c>
      <c r="H27" s="33" t="e">
        <f t="shared" si="3"/>
        <v>#N/A</v>
      </c>
      <c r="I27" s="33" t="e">
        <f t="shared" si="1"/>
        <v>#N/A</v>
      </c>
      <c r="J27" s="33" t="e">
        <f>H27/8</f>
        <v>#N/A</v>
      </c>
      <c r="K27" s="30" t="e">
        <f>#N/A</f>
        <v>#N/A</v>
      </c>
      <c r="L27" s="30" t="e">
        <f>#N/A</f>
        <v>#N/A</v>
      </c>
      <c r="M27" s="30" t="e">
        <f>#N/A</f>
        <v>#N/A</v>
      </c>
    </row>
    <row r="28" spans="1:13" ht="15" hidden="1">
      <c r="A28" s="7">
        <v>39873</v>
      </c>
      <c r="B28" s="25" t="e">
        <f>#N/A</f>
        <v>#N/A</v>
      </c>
      <c r="C28" s="25" t="e">
        <f>#N/A</f>
        <v>#N/A</v>
      </c>
      <c r="D28" s="33" t="e">
        <f>#N/A</f>
        <v>#N/A</v>
      </c>
      <c r="E28" s="33" t="e">
        <f>#N/A</f>
        <v>#N/A</v>
      </c>
      <c r="F28" s="33"/>
      <c r="G28" s="33" t="e">
        <f t="shared" si="0"/>
        <v>#N/A</v>
      </c>
      <c r="H28" s="33" t="e">
        <f t="shared" si="3"/>
        <v>#N/A</v>
      </c>
      <c r="I28" s="33" t="e">
        <f t="shared" si="1"/>
        <v>#N/A</v>
      </c>
      <c r="J28" s="33" t="e">
        <f>H28/9</f>
        <v>#N/A</v>
      </c>
      <c r="K28" s="30" t="e">
        <f>#N/A</f>
        <v>#N/A</v>
      </c>
      <c r="L28" s="30" t="e">
        <f>#N/A</f>
        <v>#N/A</v>
      </c>
      <c r="M28" s="30" t="e">
        <f>#N/A</f>
        <v>#N/A</v>
      </c>
    </row>
    <row r="29" spans="1:13" ht="15" hidden="1">
      <c r="A29" s="7">
        <v>39904</v>
      </c>
      <c r="B29" s="25" t="e">
        <f>#N/A</f>
        <v>#N/A</v>
      </c>
      <c r="C29" s="25" t="e">
        <f>#N/A</f>
        <v>#N/A</v>
      </c>
      <c r="D29" s="33" t="e">
        <f>#N/A</f>
        <v>#N/A</v>
      </c>
      <c r="E29" s="33" t="e">
        <f>#N/A</f>
        <v>#N/A</v>
      </c>
      <c r="F29" s="33"/>
      <c r="G29" s="33" t="e">
        <f t="shared" si="0"/>
        <v>#N/A</v>
      </c>
      <c r="H29" s="33" t="e">
        <f t="shared" si="3"/>
        <v>#N/A</v>
      </c>
      <c r="I29" s="33" t="e">
        <f t="shared" si="1"/>
        <v>#N/A</v>
      </c>
      <c r="J29" s="33" t="e">
        <f>H29/10</f>
        <v>#N/A</v>
      </c>
      <c r="K29" s="30" t="e">
        <f>#N/A</f>
        <v>#N/A</v>
      </c>
      <c r="L29" s="30" t="e">
        <f>#N/A</f>
        <v>#N/A</v>
      </c>
      <c r="M29" s="30" t="e">
        <f>#N/A</f>
        <v>#N/A</v>
      </c>
    </row>
    <row r="30" spans="1:13" ht="15" hidden="1">
      <c r="A30" s="7">
        <v>39934</v>
      </c>
      <c r="B30" s="25" t="e">
        <f>#N/A</f>
        <v>#N/A</v>
      </c>
      <c r="C30" s="25" t="e">
        <f>#N/A</f>
        <v>#N/A</v>
      </c>
      <c r="D30" s="33" t="e">
        <f>#N/A</f>
        <v>#N/A</v>
      </c>
      <c r="E30" s="33" t="e">
        <f>#N/A</f>
        <v>#N/A</v>
      </c>
      <c r="F30" s="33"/>
      <c r="G30" s="33" t="e">
        <f t="shared" si="0"/>
        <v>#N/A</v>
      </c>
      <c r="H30" s="33" t="e">
        <f t="shared" si="3"/>
        <v>#N/A</v>
      </c>
      <c r="I30" s="33" t="e">
        <f t="shared" si="1"/>
        <v>#N/A</v>
      </c>
      <c r="J30" s="33" t="e">
        <f>H30/11</f>
        <v>#N/A</v>
      </c>
      <c r="K30" s="30" t="e">
        <f>#N/A</f>
        <v>#N/A</v>
      </c>
      <c r="L30" s="30" t="e">
        <f>#N/A</f>
        <v>#N/A</v>
      </c>
      <c r="M30" s="30" t="e">
        <f>#N/A</f>
        <v>#N/A</v>
      </c>
    </row>
    <row r="31" spans="1:13" ht="15.75" hidden="1" thickBot="1">
      <c r="A31" s="7">
        <v>39965</v>
      </c>
      <c r="B31" s="34" t="e">
        <f>#N/A</f>
        <v>#N/A</v>
      </c>
      <c r="C31" s="34" t="e">
        <f>#N/A</f>
        <v>#N/A</v>
      </c>
      <c r="D31" s="34" t="e">
        <f>#N/A</f>
        <v>#N/A</v>
      </c>
      <c r="E31" s="34" t="e">
        <f>#N/A</f>
        <v>#N/A</v>
      </c>
      <c r="F31" s="34"/>
      <c r="G31" s="34" t="e">
        <f t="shared" si="0"/>
        <v>#N/A</v>
      </c>
      <c r="H31" s="34" t="e">
        <f t="shared" si="3"/>
        <v>#N/A</v>
      </c>
      <c r="I31" s="34" t="e">
        <f t="shared" si="1"/>
        <v>#N/A</v>
      </c>
      <c r="J31" s="34" t="e">
        <f>H31/12</f>
        <v>#N/A</v>
      </c>
      <c r="K31" s="48" t="e">
        <f>#N/A</f>
        <v>#N/A</v>
      </c>
      <c r="L31" s="48" t="e">
        <f>#N/A</f>
        <v>#N/A</v>
      </c>
      <c r="M31" s="48" t="e">
        <f>#N/A</f>
        <v>#N/A</v>
      </c>
    </row>
    <row r="32" spans="1:13" ht="15" hidden="1">
      <c r="A32" s="7">
        <v>40725</v>
      </c>
      <c r="B32" s="33" t="e">
        <f>#N/A</f>
        <v>#N/A</v>
      </c>
      <c r="C32" s="33" t="e">
        <f>B32</f>
        <v>#N/A</v>
      </c>
      <c r="D32" s="33" t="e">
        <f>#N/A</f>
        <v>#N/A</v>
      </c>
      <c r="E32" s="33" t="e">
        <f>#N/A</f>
        <v>#N/A</v>
      </c>
      <c r="F32" s="33" t="e">
        <f>#N/A</f>
        <v>#N/A</v>
      </c>
      <c r="G32" s="33" t="e">
        <f>#N/A</f>
        <v>#N/A</v>
      </c>
      <c r="H32" s="33" t="e">
        <f>#N/A</f>
        <v>#N/A</v>
      </c>
      <c r="I32" s="33" t="e">
        <f>#N/A</f>
        <v>#N/A</v>
      </c>
      <c r="J32" s="33" t="e">
        <f>H32</f>
        <v>#N/A</v>
      </c>
      <c r="K32" s="30" t="e">
        <f>#N/A</f>
        <v>#N/A</v>
      </c>
      <c r="L32" s="30" t="e">
        <f>#N/A</f>
        <v>#N/A</v>
      </c>
      <c r="M32" s="30" t="e">
        <f>#N/A</f>
        <v>#N/A</v>
      </c>
    </row>
    <row r="33" spans="1:13" ht="15" hidden="1">
      <c r="A33" s="7">
        <v>40756</v>
      </c>
      <c r="B33" s="33" t="e">
        <f>#N/A</f>
        <v>#N/A</v>
      </c>
      <c r="C33" s="33" t="e">
        <f aca="true" t="shared" si="4" ref="C33:C43">C32+B33</f>
        <v>#N/A</v>
      </c>
      <c r="D33" s="33" t="e">
        <f>#N/A</f>
        <v>#N/A</v>
      </c>
      <c r="E33" s="33" t="e">
        <f>#N/A</f>
        <v>#N/A</v>
      </c>
      <c r="F33" s="33" t="e">
        <f>#N/A</f>
        <v>#N/A</v>
      </c>
      <c r="G33" s="33" t="e">
        <f>#N/A</f>
        <v>#N/A</v>
      </c>
      <c r="H33" s="33" t="e">
        <f>#N/A</f>
        <v>#N/A</v>
      </c>
      <c r="I33" s="33" t="e">
        <f>#N/A</f>
        <v>#N/A</v>
      </c>
      <c r="J33" s="33" t="e">
        <f>H33/2</f>
        <v>#N/A</v>
      </c>
      <c r="K33" s="30" t="e">
        <f>#N/A</f>
        <v>#N/A</v>
      </c>
      <c r="L33" s="30" t="e">
        <f>#N/A</f>
        <v>#N/A</v>
      </c>
      <c r="M33" s="30" t="e">
        <f>#N/A</f>
        <v>#N/A</v>
      </c>
    </row>
    <row r="34" spans="1:13" ht="15" hidden="1">
      <c r="A34" s="7">
        <v>40787</v>
      </c>
      <c r="B34" s="33" t="e">
        <f>#N/A</f>
        <v>#N/A</v>
      </c>
      <c r="C34" s="33" t="e">
        <f t="shared" si="4"/>
        <v>#N/A</v>
      </c>
      <c r="D34" s="33" t="e">
        <f>#N/A</f>
        <v>#N/A</v>
      </c>
      <c r="E34" s="33" t="e">
        <f>#N/A</f>
        <v>#N/A</v>
      </c>
      <c r="F34" s="33" t="e">
        <f>#N/A</f>
        <v>#N/A</v>
      </c>
      <c r="G34" s="33" t="e">
        <f>#N/A</f>
        <v>#N/A</v>
      </c>
      <c r="H34" s="33" t="e">
        <f>#N/A</f>
        <v>#N/A</v>
      </c>
      <c r="I34" s="33" t="e">
        <f>#N/A</f>
        <v>#N/A</v>
      </c>
      <c r="J34" s="33" t="e">
        <f>H34/3</f>
        <v>#N/A</v>
      </c>
      <c r="K34" s="30" t="e">
        <f>#N/A</f>
        <v>#N/A</v>
      </c>
      <c r="L34" s="30" t="e">
        <f>#N/A</f>
        <v>#N/A</v>
      </c>
      <c r="M34" s="30" t="e">
        <f>#N/A</f>
        <v>#N/A</v>
      </c>
    </row>
    <row r="35" spans="1:13" ht="15" hidden="1">
      <c r="A35" s="7">
        <v>40817</v>
      </c>
      <c r="B35" s="33" t="e">
        <f>#N/A</f>
        <v>#N/A</v>
      </c>
      <c r="C35" s="33" t="e">
        <f t="shared" si="4"/>
        <v>#N/A</v>
      </c>
      <c r="D35" s="33" t="e">
        <f>#N/A</f>
        <v>#N/A</v>
      </c>
      <c r="E35" s="33" t="e">
        <f>#N/A</f>
        <v>#N/A</v>
      </c>
      <c r="F35" s="33" t="e">
        <f>#N/A</f>
        <v>#N/A</v>
      </c>
      <c r="G35" s="33" t="e">
        <f>#N/A</f>
        <v>#N/A</v>
      </c>
      <c r="H35" s="33" t="e">
        <f>#N/A</f>
        <v>#N/A</v>
      </c>
      <c r="I35" s="33" t="e">
        <f>#N/A</f>
        <v>#N/A</v>
      </c>
      <c r="J35" s="33" t="e">
        <f>H35/4</f>
        <v>#N/A</v>
      </c>
      <c r="K35" s="30" t="e">
        <f>#N/A</f>
        <v>#N/A</v>
      </c>
      <c r="L35" s="30" t="e">
        <f>#N/A</f>
        <v>#N/A</v>
      </c>
      <c r="M35" s="30" t="e">
        <f>#N/A</f>
        <v>#N/A</v>
      </c>
    </row>
    <row r="36" spans="1:13" ht="15" hidden="1">
      <c r="A36" s="7">
        <v>40848</v>
      </c>
      <c r="B36" s="33" t="e">
        <f>#N/A</f>
        <v>#N/A</v>
      </c>
      <c r="C36" s="33" t="e">
        <f t="shared" si="4"/>
        <v>#N/A</v>
      </c>
      <c r="D36" s="33" t="e">
        <f>#N/A</f>
        <v>#N/A</v>
      </c>
      <c r="E36" s="33" t="e">
        <f>#N/A</f>
        <v>#N/A</v>
      </c>
      <c r="F36" s="33" t="e">
        <f>#N/A</f>
        <v>#N/A</v>
      </c>
      <c r="G36" s="33" t="e">
        <f>#N/A</f>
        <v>#N/A</v>
      </c>
      <c r="H36" s="33" t="e">
        <f>#N/A</f>
        <v>#N/A</v>
      </c>
      <c r="I36" s="33" t="e">
        <f>#N/A</f>
        <v>#N/A</v>
      </c>
      <c r="J36" s="33" t="e">
        <f>H36/5</f>
        <v>#N/A</v>
      </c>
      <c r="K36" s="30" t="e">
        <f>#N/A</f>
        <v>#N/A</v>
      </c>
      <c r="L36" s="30" t="e">
        <f>#N/A</f>
        <v>#N/A</v>
      </c>
      <c r="M36" s="30" t="e">
        <f>#N/A</f>
        <v>#N/A</v>
      </c>
    </row>
    <row r="37" spans="1:13" ht="15" hidden="1">
      <c r="A37" s="7">
        <v>40878</v>
      </c>
      <c r="B37" s="33" t="e">
        <f>#N/A</f>
        <v>#N/A</v>
      </c>
      <c r="C37" s="33" t="e">
        <f t="shared" si="4"/>
        <v>#N/A</v>
      </c>
      <c r="D37" s="33" t="e">
        <f>#N/A</f>
        <v>#N/A</v>
      </c>
      <c r="E37" s="33" t="e">
        <f>#N/A</f>
        <v>#N/A</v>
      </c>
      <c r="F37" s="33" t="e">
        <f>#N/A</f>
        <v>#N/A</v>
      </c>
      <c r="G37" s="33" t="e">
        <f>#N/A</f>
        <v>#N/A</v>
      </c>
      <c r="H37" s="33" t="e">
        <f>#N/A</f>
        <v>#N/A</v>
      </c>
      <c r="I37" s="33" t="e">
        <f>#N/A</f>
        <v>#N/A</v>
      </c>
      <c r="J37" s="33" t="e">
        <f>H37/6</f>
        <v>#N/A</v>
      </c>
      <c r="K37" s="30" t="e">
        <f>#N/A</f>
        <v>#N/A</v>
      </c>
      <c r="L37" s="30" t="e">
        <f>#N/A</f>
        <v>#N/A</v>
      </c>
      <c r="M37" s="30" t="e">
        <f>#N/A</f>
        <v>#N/A</v>
      </c>
    </row>
    <row r="38" spans="1:13" ht="15" hidden="1">
      <c r="A38" s="7">
        <v>40909</v>
      </c>
      <c r="B38" s="33" t="e">
        <f>#N/A</f>
        <v>#N/A</v>
      </c>
      <c r="C38" s="33" t="e">
        <f t="shared" si="4"/>
        <v>#N/A</v>
      </c>
      <c r="D38" s="33" t="e">
        <f>#N/A</f>
        <v>#N/A</v>
      </c>
      <c r="E38" s="33" t="e">
        <f>#N/A</f>
        <v>#N/A</v>
      </c>
      <c r="F38" s="33" t="e">
        <f>#N/A</f>
        <v>#N/A</v>
      </c>
      <c r="G38" s="33" t="e">
        <f>#N/A</f>
        <v>#N/A</v>
      </c>
      <c r="H38" s="33" t="e">
        <f>#N/A</f>
        <v>#N/A</v>
      </c>
      <c r="I38" s="33" t="e">
        <f>#N/A</f>
        <v>#N/A</v>
      </c>
      <c r="J38" s="33" t="e">
        <f>H38/7</f>
        <v>#N/A</v>
      </c>
      <c r="K38" s="30" t="e">
        <f>#N/A</f>
        <v>#N/A</v>
      </c>
      <c r="L38" s="30" t="e">
        <f>#N/A</f>
        <v>#N/A</v>
      </c>
      <c r="M38" s="30" t="e">
        <f>#N/A</f>
        <v>#N/A</v>
      </c>
    </row>
    <row r="39" spans="1:13" ht="15" hidden="1">
      <c r="A39" s="7">
        <v>40940</v>
      </c>
      <c r="B39" s="33" t="e">
        <f>#N/A</f>
        <v>#N/A</v>
      </c>
      <c r="C39" s="33" t="e">
        <f t="shared" si="4"/>
        <v>#N/A</v>
      </c>
      <c r="D39" s="33" t="e">
        <f>#N/A</f>
        <v>#N/A</v>
      </c>
      <c r="E39" s="33" t="e">
        <f>#N/A</f>
        <v>#N/A</v>
      </c>
      <c r="F39" s="33" t="e">
        <f>#N/A</f>
        <v>#N/A</v>
      </c>
      <c r="G39" s="33" t="e">
        <f>#N/A</f>
        <v>#N/A</v>
      </c>
      <c r="H39" s="33" t="e">
        <f>#N/A</f>
        <v>#N/A</v>
      </c>
      <c r="I39" s="33" t="e">
        <f>#N/A</f>
        <v>#N/A</v>
      </c>
      <c r="J39" s="33" t="e">
        <f>H39/8</f>
        <v>#N/A</v>
      </c>
      <c r="K39" s="30" t="e">
        <f>#N/A</f>
        <v>#N/A</v>
      </c>
      <c r="L39" s="30" t="e">
        <f>#N/A</f>
        <v>#N/A</v>
      </c>
      <c r="M39" s="30" t="e">
        <f>#N/A</f>
        <v>#N/A</v>
      </c>
    </row>
    <row r="40" spans="1:13" ht="15" hidden="1">
      <c r="A40" s="7">
        <v>40969</v>
      </c>
      <c r="B40" s="33" t="e">
        <f>#N/A</f>
        <v>#N/A</v>
      </c>
      <c r="C40" s="33" t="e">
        <f t="shared" si="4"/>
        <v>#N/A</v>
      </c>
      <c r="D40" s="33" t="e">
        <f>#N/A</f>
        <v>#N/A</v>
      </c>
      <c r="E40" s="33" t="e">
        <f>#N/A</f>
        <v>#N/A</v>
      </c>
      <c r="F40" s="33" t="e">
        <f>#N/A</f>
        <v>#N/A</v>
      </c>
      <c r="G40" s="33" t="e">
        <f>#N/A</f>
        <v>#N/A</v>
      </c>
      <c r="H40" s="33" t="e">
        <f>#N/A</f>
        <v>#N/A</v>
      </c>
      <c r="I40" s="33" t="e">
        <f>#N/A</f>
        <v>#N/A</v>
      </c>
      <c r="J40" s="33" t="e">
        <f>H40/9</f>
        <v>#N/A</v>
      </c>
      <c r="K40" s="30" t="e">
        <f>#N/A</f>
        <v>#N/A</v>
      </c>
      <c r="L40" s="30" t="e">
        <f>#N/A</f>
        <v>#N/A</v>
      </c>
      <c r="M40" s="30" t="e">
        <f>#N/A</f>
        <v>#N/A</v>
      </c>
    </row>
    <row r="41" spans="1:13" ht="15" hidden="1">
      <c r="A41" s="7">
        <v>41000</v>
      </c>
      <c r="B41" s="33" t="e">
        <f>#N/A</f>
        <v>#N/A</v>
      </c>
      <c r="C41" s="33" t="e">
        <f t="shared" si="4"/>
        <v>#N/A</v>
      </c>
      <c r="D41" s="33" t="e">
        <f>#N/A</f>
        <v>#N/A</v>
      </c>
      <c r="E41" s="33" t="e">
        <f>#N/A</f>
        <v>#N/A</v>
      </c>
      <c r="F41" s="33" t="e">
        <f>#N/A</f>
        <v>#N/A</v>
      </c>
      <c r="G41" s="33" t="e">
        <f>#N/A</f>
        <v>#N/A</v>
      </c>
      <c r="H41" s="33" t="e">
        <f>#N/A</f>
        <v>#N/A</v>
      </c>
      <c r="I41" s="33" t="e">
        <f>#N/A</f>
        <v>#N/A</v>
      </c>
      <c r="J41" s="33" t="e">
        <f>H41/10</f>
        <v>#N/A</v>
      </c>
      <c r="K41" s="30" t="e">
        <f>#N/A</f>
        <v>#N/A</v>
      </c>
      <c r="L41" s="30" t="e">
        <f>#N/A</f>
        <v>#N/A</v>
      </c>
      <c r="M41" s="30" t="e">
        <f>#N/A</f>
        <v>#N/A</v>
      </c>
    </row>
    <row r="42" spans="1:13" ht="15" hidden="1">
      <c r="A42" s="7">
        <v>41030</v>
      </c>
      <c r="B42" s="33" t="e">
        <f>#N/A</f>
        <v>#N/A</v>
      </c>
      <c r="C42" s="33" t="e">
        <f t="shared" si="4"/>
        <v>#N/A</v>
      </c>
      <c r="D42" s="33" t="e">
        <f>#N/A</f>
        <v>#N/A</v>
      </c>
      <c r="E42" s="33" t="e">
        <f>#N/A</f>
        <v>#N/A</v>
      </c>
      <c r="F42" s="33" t="e">
        <f>#N/A</f>
        <v>#N/A</v>
      </c>
      <c r="G42" s="33" t="e">
        <f>#N/A</f>
        <v>#N/A</v>
      </c>
      <c r="H42" s="33" t="e">
        <f>#N/A</f>
        <v>#N/A</v>
      </c>
      <c r="I42" s="33" t="e">
        <f>#N/A</f>
        <v>#N/A</v>
      </c>
      <c r="J42" s="33" t="e">
        <f>H42/11</f>
        <v>#N/A</v>
      </c>
      <c r="K42" s="30" t="e">
        <f>#N/A</f>
        <v>#N/A</v>
      </c>
      <c r="L42" s="30" t="e">
        <f>#N/A</f>
        <v>#N/A</v>
      </c>
      <c r="M42" s="30">
        <v>0</v>
      </c>
    </row>
    <row r="43" spans="1:13" ht="15.75" hidden="1" thickBot="1">
      <c r="A43" s="7">
        <v>41061</v>
      </c>
      <c r="B43" s="34" t="e">
        <f>#N/A</f>
        <v>#N/A</v>
      </c>
      <c r="C43" s="34" t="e">
        <f t="shared" si="4"/>
        <v>#N/A</v>
      </c>
      <c r="D43" s="34" t="e">
        <f>#N/A</f>
        <v>#N/A</v>
      </c>
      <c r="E43" s="34" t="e">
        <f>#N/A</f>
        <v>#N/A</v>
      </c>
      <c r="F43" s="34" t="e">
        <f>#N/A</f>
        <v>#N/A</v>
      </c>
      <c r="G43" s="34" t="e">
        <f>#N/A</f>
        <v>#N/A</v>
      </c>
      <c r="H43" s="34" t="e">
        <f>#N/A</f>
        <v>#N/A</v>
      </c>
      <c r="I43" s="34" t="e">
        <f>#N/A</f>
        <v>#N/A</v>
      </c>
      <c r="J43" s="34" t="e">
        <f>H43/12</f>
        <v>#N/A</v>
      </c>
      <c r="K43" s="48" t="e">
        <f>#N/A</f>
        <v>#N/A</v>
      </c>
      <c r="L43" s="48" t="e">
        <f>#N/A</f>
        <v>#N/A</v>
      </c>
      <c r="M43" s="48">
        <v>0</v>
      </c>
    </row>
    <row r="44" spans="1:13" ht="15" hidden="1">
      <c r="A44" s="7">
        <v>41091</v>
      </c>
      <c r="B44" s="37" t="e">
        <f>#N/A</f>
        <v>#N/A</v>
      </c>
      <c r="C44" s="33" t="e">
        <f>B44</f>
        <v>#N/A</v>
      </c>
      <c r="D44" s="33" t="e">
        <f>#N/A</f>
        <v>#N/A</v>
      </c>
      <c r="E44" s="33" t="e">
        <f>#N/A</f>
        <v>#N/A</v>
      </c>
      <c r="F44" s="33" t="e">
        <f>#N/A</f>
        <v>#N/A</v>
      </c>
      <c r="G44" s="33" t="e">
        <f>#N/A</f>
        <v>#N/A</v>
      </c>
      <c r="H44" s="33" t="e">
        <f>#N/A</f>
        <v>#N/A</v>
      </c>
      <c r="I44" s="33" t="e">
        <f>#N/A</f>
        <v>#N/A</v>
      </c>
      <c r="J44" s="33" t="e">
        <f>H44/1</f>
        <v>#N/A</v>
      </c>
      <c r="K44" s="30" t="e">
        <f>#N/A</f>
        <v>#N/A</v>
      </c>
      <c r="L44" s="30" t="e">
        <f>#N/A</f>
        <v>#N/A</v>
      </c>
      <c r="M44" s="49"/>
    </row>
    <row r="45" spans="1:13" ht="15" hidden="1">
      <c r="A45" s="7">
        <v>41122</v>
      </c>
      <c r="B45" s="37" t="e">
        <f>#N/A</f>
        <v>#N/A</v>
      </c>
      <c r="C45" s="33" t="e">
        <f aca="true" t="shared" si="5" ref="C45:C55">C44+B45</f>
        <v>#N/A</v>
      </c>
      <c r="D45" s="33" t="e">
        <f>#N/A</f>
        <v>#N/A</v>
      </c>
      <c r="E45" s="33" t="e">
        <f>#N/A</f>
        <v>#N/A</v>
      </c>
      <c r="F45" s="33" t="e">
        <f>#N/A</f>
        <v>#N/A</v>
      </c>
      <c r="G45" s="33" t="e">
        <f>#N/A</f>
        <v>#N/A</v>
      </c>
      <c r="H45" s="33" t="e">
        <f>#N/A</f>
        <v>#N/A</v>
      </c>
      <c r="I45" s="33" t="e">
        <f>#N/A</f>
        <v>#N/A</v>
      </c>
      <c r="J45" s="33" t="e">
        <f>H45/2</f>
        <v>#N/A</v>
      </c>
      <c r="K45" s="30" t="e">
        <f>#N/A</f>
        <v>#N/A</v>
      </c>
      <c r="L45" s="30" t="e">
        <f>#N/A</f>
        <v>#N/A</v>
      </c>
      <c r="M45" s="49"/>
    </row>
    <row r="46" spans="1:13" ht="15" hidden="1">
      <c r="A46" s="7">
        <v>41153</v>
      </c>
      <c r="B46" s="37" t="e">
        <f>#N/A</f>
        <v>#N/A</v>
      </c>
      <c r="C46" s="33" t="e">
        <f t="shared" si="5"/>
        <v>#N/A</v>
      </c>
      <c r="D46" s="33" t="e">
        <f>#N/A</f>
        <v>#N/A</v>
      </c>
      <c r="E46" s="33" t="e">
        <f>#N/A</f>
        <v>#N/A</v>
      </c>
      <c r="F46" s="33" t="e">
        <f>#N/A</f>
        <v>#N/A</v>
      </c>
      <c r="G46" s="33" t="e">
        <f>#N/A</f>
        <v>#N/A</v>
      </c>
      <c r="H46" s="33" t="e">
        <f>#N/A</f>
        <v>#N/A</v>
      </c>
      <c r="I46" s="33" t="e">
        <f>#N/A</f>
        <v>#N/A</v>
      </c>
      <c r="J46" s="33" t="e">
        <f>H46/3</f>
        <v>#N/A</v>
      </c>
      <c r="K46" s="30" t="e">
        <f>#N/A</f>
        <v>#N/A</v>
      </c>
      <c r="L46" s="30" t="e">
        <f>#N/A</f>
        <v>#N/A</v>
      </c>
      <c r="M46" s="49"/>
    </row>
    <row r="47" spans="1:13" ht="15" hidden="1">
      <c r="A47" s="7">
        <v>41183</v>
      </c>
      <c r="B47" s="37" t="e">
        <f>#N/A</f>
        <v>#N/A</v>
      </c>
      <c r="C47" s="33" t="e">
        <f t="shared" si="5"/>
        <v>#N/A</v>
      </c>
      <c r="D47" s="33" t="e">
        <f>#N/A</f>
        <v>#N/A</v>
      </c>
      <c r="E47" s="33" t="e">
        <f>#N/A</f>
        <v>#N/A</v>
      </c>
      <c r="F47" s="33">
        <v>0</v>
      </c>
      <c r="G47" s="33" t="e">
        <f>#N/A</f>
        <v>#N/A</v>
      </c>
      <c r="H47" s="33" t="e">
        <f>#N/A</f>
        <v>#N/A</v>
      </c>
      <c r="I47" s="33" t="e">
        <f>#N/A</f>
        <v>#N/A</v>
      </c>
      <c r="J47" s="33" t="e">
        <f>H47/4</f>
        <v>#N/A</v>
      </c>
      <c r="K47" s="30" t="e">
        <f>#N/A</f>
        <v>#N/A</v>
      </c>
      <c r="L47" s="30" t="e">
        <f>#N/A</f>
        <v>#N/A</v>
      </c>
      <c r="M47" s="49"/>
    </row>
    <row r="48" spans="1:13" ht="15" hidden="1">
      <c r="A48" s="7">
        <v>41214</v>
      </c>
      <c r="B48" s="37" t="e">
        <f>#N/A</f>
        <v>#N/A</v>
      </c>
      <c r="C48" s="33" t="e">
        <f t="shared" si="5"/>
        <v>#N/A</v>
      </c>
      <c r="D48" s="33" t="e">
        <f>#N/A</f>
        <v>#N/A</v>
      </c>
      <c r="E48" s="33" t="e">
        <f>#N/A</f>
        <v>#N/A</v>
      </c>
      <c r="F48" s="33">
        <v>0</v>
      </c>
      <c r="G48" s="33" t="e">
        <f>#N/A</f>
        <v>#N/A</v>
      </c>
      <c r="H48" s="33" t="e">
        <f>#N/A</f>
        <v>#N/A</v>
      </c>
      <c r="I48" s="33" t="e">
        <f>#N/A</f>
        <v>#N/A</v>
      </c>
      <c r="J48" s="33" t="e">
        <f>H48/5</f>
        <v>#N/A</v>
      </c>
      <c r="K48" s="30" t="e">
        <f>#N/A</f>
        <v>#N/A</v>
      </c>
      <c r="L48" s="30" t="e">
        <f>#N/A</f>
        <v>#N/A</v>
      </c>
      <c r="M48" s="49"/>
    </row>
    <row r="49" spans="1:13" ht="15" hidden="1">
      <c r="A49" s="7">
        <v>41244</v>
      </c>
      <c r="B49" s="37" t="e">
        <f>#N/A</f>
        <v>#N/A</v>
      </c>
      <c r="C49" s="33" t="e">
        <f t="shared" si="5"/>
        <v>#N/A</v>
      </c>
      <c r="D49" s="33" t="e">
        <f>#N/A</f>
        <v>#N/A</v>
      </c>
      <c r="E49" s="33" t="e">
        <f>#N/A</f>
        <v>#N/A</v>
      </c>
      <c r="F49" s="33">
        <v>0</v>
      </c>
      <c r="G49" s="33" t="e">
        <f>#N/A</f>
        <v>#N/A</v>
      </c>
      <c r="H49" s="33" t="e">
        <f>#N/A</f>
        <v>#N/A</v>
      </c>
      <c r="I49" s="33" t="e">
        <f>#N/A</f>
        <v>#N/A</v>
      </c>
      <c r="J49" s="33" t="e">
        <f>H49/6</f>
        <v>#N/A</v>
      </c>
      <c r="K49" s="30"/>
      <c r="L49" s="30"/>
      <c r="M49" s="49"/>
    </row>
    <row r="50" spans="1:13" ht="15" hidden="1">
      <c r="A50" s="7">
        <v>41275</v>
      </c>
      <c r="B50" s="37" t="e">
        <f>#N/A</f>
        <v>#N/A</v>
      </c>
      <c r="C50" s="33" t="e">
        <f t="shared" si="5"/>
        <v>#N/A</v>
      </c>
      <c r="D50" s="33" t="e">
        <f>#N/A</f>
        <v>#N/A</v>
      </c>
      <c r="E50" s="33" t="e">
        <f>#N/A</f>
        <v>#N/A</v>
      </c>
      <c r="F50" s="33">
        <v>0</v>
      </c>
      <c r="G50" s="33" t="e">
        <f>#N/A</f>
        <v>#N/A</v>
      </c>
      <c r="H50" s="33" t="e">
        <f>#N/A</f>
        <v>#N/A</v>
      </c>
      <c r="I50" s="33" t="e">
        <f>#N/A</f>
        <v>#N/A</v>
      </c>
      <c r="J50" s="33" t="e">
        <f>H50/7</f>
        <v>#N/A</v>
      </c>
      <c r="K50" s="30"/>
      <c r="L50" s="30"/>
      <c r="M50" s="49"/>
    </row>
    <row r="51" spans="1:13" ht="15" hidden="1">
      <c r="A51" s="7">
        <v>41306</v>
      </c>
      <c r="B51" s="37" t="e">
        <f>#N/A</f>
        <v>#N/A</v>
      </c>
      <c r="C51" s="33" t="e">
        <f t="shared" si="5"/>
        <v>#N/A</v>
      </c>
      <c r="D51" s="33" t="e">
        <f>#N/A</f>
        <v>#N/A</v>
      </c>
      <c r="E51" s="33" t="e">
        <f>#N/A</f>
        <v>#N/A</v>
      </c>
      <c r="F51" s="33">
        <v>0</v>
      </c>
      <c r="G51" s="33" t="e">
        <f>#N/A</f>
        <v>#N/A</v>
      </c>
      <c r="H51" s="33" t="e">
        <f>#N/A</f>
        <v>#N/A</v>
      </c>
      <c r="I51" s="33" t="e">
        <f>#N/A</f>
        <v>#N/A</v>
      </c>
      <c r="J51" s="33" t="e">
        <f>H51/8</f>
        <v>#N/A</v>
      </c>
      <c r="K51" s="49"/>
      <c r="L51" s="30"/>
      <c r="M51" s="49"/>
    </row>
    <row r="52" spans="1:13" ht="15" hidden="1">
      <c r="A52" s="7">
        <v>41334</v>
      </c>
      <c r="B52" s="37" t="e">
        <f>#N/A</f>
        <v>#N/A</v>
      </c>
      <c r="C52" s="33" t="e">
        <f t="shared" si="5"/>
        <v>#N/A</v>
      </c>
      <c r="D52" s="33" t="e">
        <f>#N/A</f>
        <v>#N/A</v>
      </c>
      <c r="E52" s="33" t="e">
        <f>#N/A</f>
        <v>#N/A</v>
      </c>
      <c r="F52" s="33">
        <v>0</v>
      </c>
      <c r="G52" s="33" t="e">
        <f>#N/A</f>
        <v>#N/A</v>
      </c>
      <c r="H52" s="33" t="e">
        <f>#N/A</f>
        <v>#N/A</v>
      </c>
      <c r="I52" s="33" t="e">
        <f>#N/A</f>
        <v>#N/A</v>
      </c>
      <c r="J52" s="33" t="e">
        <f>H52/9</f>
        <v>#N/A</v>
      </c>
      <c r="K52" s="49"/>
      <c r="L52" s="49"/>
      <c r="M52" s="49"/>
    </row>
    <row r="53" spans="1:13" ht="15" hidden="1">
      <c r="A53" s="7">
        <v>41365</v>
      </c>
      <c r="B53" s="37" t="e">
        <f>#N/A</f>
        <v>#N/A</v>
      </c>
      <c r="C53" s="33" t="e">
        <f t="shared" si="5"/>
        <v>#N/A</v>
      </c>
      <c r="D53" s="33" t="e">
        <f>#N/A</f>
        <v>#N/A</v>
      </c>
      <c r="E53" s="33" t="e">
        <f>#N/A</f>
        <v>#N/A</v>
      </c>
      <c r="F53" s="33">
        <v>1</v>
      </c>
      <c r="G53" s="33" t="e">
        <f>#N/A</f>
        <v>#N/A</v>
      </c>
      <c r="H53" s="33" t="e">
        <f>#N/A</f>
        <v>#N/A</v>
      </c>
      <c r="I53" s="33" t="e">
        <f>#N/A</f>
        <v>#N/A</v>
      </c>
      <c r="J53" s="33" t="e">
        <f>H53/10</f>
        <v>#N/A</v>
      </c>
      <c r="K53" s="49"/>
      <c r="L53" s="49"/>
      <c r="M53" s="49"/>
    </row>
    <row r="54" spans="1:13" ht="15" hidden="1">
      <c r="A54" s="7">
        <v>41395</v>
      </c>
      <c r="B54" s="37" t="e">
        <f>#N/A</f>
        <v>#N/A</v>
      </c>
      <c r="C54" s="33" t="e">
        <f t="shared" si="5"/>
        <v>#N/A</v>
      </c>
      <c r="D54" s="33" t="e">
        <f>#N/A</f>
        <v>#N/A</v>
      </c>
      <c r="E54" s="33" t="e">
        <f>#N/A</f>
        <v>#N/A</v>
      </c>
      <c r="F54" s="33">
        <v>0</v>
      </c>
      <c r="G54" s="33" t="e">
        <f>#N/A</f>
        <v>#N/A</v>
      </c>
      <c r="H54" s="33" t="e">
        <f>#N/A</f>
        <v>#N/A</v>
      </c>
      <c r="I54" s="33" t="e">
        <f>#N/A</f>
        <v>#N/A</v>
      </c>
      <c r="J54" s="33" t="e">
        <f>H54/11</f>
        <v>#N/A</v>
      </c>
      <c r="K54" s="49"/>
      <c r="L54" s="49"/>
      <c r="M54" s="49"/>
    </row>
    <row r="55" spans="1:13" ht="15.75" hidden="1" thickBot="1">
      <c r="A55" s="7">
        <v>41426</v>
      </c>
      <c r="B55" s="39" t="e">
        <f>#N/A</f>
        <v>#N/A</v>
      </c>
      <c r="C55" s="34" t="e">
        <f t="shared" si="5"/>
        <v>#N/A</v>
      </c>
      <c r="D55" s="34" t="e">
        <f>#N/A</f>
        <v>#N/A</v>
      </c>
      <c r="E55" s="34" t="e">
        <f>#N/A</f>
        <v>#N/A</v>
      </c>
      <c r="F55" s="34">
        <v>0</v>
      </c>
      <c r="G55" s="34" t="e">
        <f>#N/A</f>
        <v>#N/A</v>
      </c>
      <c r="H55" s="34" t="e">
        <f>#N/A</f>
        <v>#N/A</v>
      </c>
      <c r="I55" s="34" t="e">
        <f>#N/A</f>
        <v>#N/A</v>
      </c>
      <c r="J55" s="34" t="e">
        <f>H55/12</f>
        <v>#N/A</v>
      </c>
      <c r="K55" s="48"/>
      <c r="L55" s="48"/>
      <c r="M55" s="48"/>
    </row>
    <row r="56" spans="1:13" ht="18" customHeight="1" hidden="1">
      <c r="A56" s="7">
        <v>41457</v>
      </c>
      <c r="B56" s="37">
        <f>SUM('D1:D16'!B56)</f>
        <v>812551.9166666667</v>
      </c>
      <c r="C56" s="33">
        <f>B56</f>
        <v>812551.9166666667</v>
      </c>
      <c r="D56" s="37">
        <f>SUM('D1:D16'!D56)</f>
        <v>950</v>
      </c>
      <c r="E56" s="37">
        <f>SUM('D1:D16'!E56)</f>
        <v>580218</v>
      </c>
      <c r="F56" s="33">
        <v>0</v>
      </c>
      <c r="G56" s="37">
        <f>SUM('D1:D16'!G56)</f>
        <v>581168</v>
      </c>
      <c r="H56" s="37">
        <f>SUM('D1:D16'!H56)</f>
        <v>581168</v>
      </c>
      <c r="I56" s="37">
        <f>SUM('D1:D16'!I56)</f>
        <v>231383.9166666667</v>
      </c>
      <c r="J56" s="33">
        <f>H56</f>
        <v>581168</v>
      </c>
      <c r="K56" s="47">
        <f>SUM('D1:D16'!K56)</f>
        <v>19619</v>
      </c>
      <c r="L56" s="47">
        <f>SUM('D1:D16'!L56)</f>
        <v>10703</v>
      </c>
      <c r="M56" s="49"/>
    </row>
    <row r="57" spans="1:13" ht="15" hidden="1">
      <c r="A57" s="7">
        <v>41488</v>
      </c>
      <c r="B57" s="37">
        <f>SUM('D1:D16'!B57)</f>
        <v>812551.9166666667</v>
      </c>
      <c r="C57" s="33">
        <f aca="true" t="shared" si="6" ref="C57:C79">C56+B57</f>
        <v>1625103.8333333335</v>
      </c>
      <c r="D57" s="37">
        <f>SUM('D1:D16'!D57)</f>
        <v>292</v>
      </c>
      <c r="E57" s="37">
        <f>SUM('D1:D16'!E57)</f>
        <v>617524</v>
      </c>
      <c r="F57" s="33">
        <v>0</v>
      </c>
      <c r="G57" s="37">
        <f>SUM('D1:D16'!G57)</f>
        <v>617816</v>
      </c>
      <c r="H57" s="37">
        <f>SUM('D1:D16'!H57)</f>
        <v>1198984</v>
      </c>
      <c r="I57" s="37">
        <f>SUM('D1:D16'!I57)</f>
        <v>426119.8333333334</v>
      </c>
      <c r="J57" s="33">
        <f>H57/2</f>
        <v>599492</v>
      </c>
      <c r="K57" s="47">
        <f>SUM('D1:D16'!K57)</f>
        <v>19508</v>
      </c>
      <c r="L57" s="47">
        <f>SUM('D1:D16'!L57)</f>
        <v>11282</v>
      </c>
      <c r="M57" s="49"/>
    </row>
    <row r="58" spans="1:13" ht="15" hidden="1">
      <c r="A58" s="7">
        <v>41519</v>
      </c>
      <c r="B58" s="37">
        <f>SUM('D1:D16'!B58)</f>
        <v>812551.9166666667</v>
      </c>
      <c r="C58" s="33">
        <f t="shared" si="6"/>
        <v>2437655.75</v>
      </c>
      <c r="D58" s="37">
        <f>SUM('D1:D16'!D58)</f>
        <v>600</v>
      </c>
      <c r="E58" s="37">
        <f>SUM('D1:D16'!E58)</f>
        <v>507089</v>
      </c>
      <c r="F58" s="33">
        <v>0</v>
      </c>
      <c r="G58" s="37">
        <f>SUM('D1:D16'!G58)</f>
        <v>507689</v>
      </c>
      <c r="H58" s="37">
        <f>SUM('D1:D16'!H58)</f>
        <v>1706673</v>
      </c>
      <c r="I58" s="37">
        <f>SUM('D1:D16'!I58)</f>
        <v>730982.75</v>
      </c>
      <c r="J58" s="33">
        <f>H58/3</f>
        <v>568891</v>
      </c>
      <c r="K58" s="47">
        <f>SUM('D1:D16'!K58)</f>
        <v>19367</v>
      </c>
      <c r="L58" s="47">
        <f>SUM('D1:D16'!L58)</f>
        <v>13298</v>
      </c>
      <c r="M58" s="49"/>
    </row>
    <row r="59" spans="1:13" ht="15" hidden="1">
      <c r="A59" s="7">
        <v>41550</v>
      </c>
      <c r="B59" s="37">
        <f>SUM('D1:D16'!B59)</f>
        <v>812551.9166666667</v>
      </c>
      <c r="C59" s="33">
        <f t="shared" si="6"/>
        <v>3250207.666666667</v>
      </c>
      <c r="D59" s="37">
        <f>SUM('D1:D16'!D59)</f>
        <v>350</v>
      </c>
      <c r="E59" s="37">
        <f>SUM('D1:D16'!E59)</f>
        <v>541904.0700000001</v>
      </c>
      <c r="F59" s="33">
        <v>0</v>
      </c>
      <c r="G59" s="37">
        <f>SUM('D1:D16'!G59)</f>
        <v>542254.0700000001</v>
      </c>
      <c r="H59" s="37">
        <f>SUM('D1:D16'!H59)</f>
        <v>2248927.07</v>
      </c>
      <c r="I59" s="37">
        <f>SUM('D1:D16'!I59)</f>
        <v>1001280.5966666667</v>
      </c>
      <c r="J59" s="33">
        <f>H59/4</f>
        <v>562231.7675</v>
      </c>
      <c r="K59" s="47">
        <f>SUM('D1:D16'!K59)</f>
        <v>19008</v>
      </c>
      <c r="L59" s="47">
        <f>SUM('D1:D16'!L59)</f>
        <v>11875</v>
      </c>
      <c r="M59" s="49"/>
    </row>
    <row r="60" spans="1:13" ht="15" hidden="1">
      <c r="A60" s="7">
        <v>41581</v>
      </c>
      <c r="B60" s="37">
        <f>SUM('D1:D16'!B60)</f>
        <v>812551.9166666667</v>
      </c>
      <c r="C60" s="33">
        <f t="shared" si="6"/>
        <v>4062759.583333334</v>
      </c>
      <c r="D60" s="37">
        <f>SUM('D1:D16'!D60)</f>
        <v>428</v>
      </c>
      <c r="E60" s="37">
        <f>SUM('D1:D16'!E60)</f>
        <v>493750.41</v>
      </c>
      <c r="F60" s="33">
        <v>0</v>
      </c>
      <c r="G60" s="37">
        <f>SUM('D1:D16'!G60)</f>
        <v>494178.41</v>
      </c>
      <c r="H60" s="37">
        <f>SUM('D1:D16'!H60)</f>
        <v>2743105.4800000004</v>
      </c>
      <c r="I60" s="37">
        <f>SUM('D1:D16'!I60)</f>
        <v>1319654.1033333333</v>
      </c>
      <c r="J60" s="33">
        <f>H60/5</f>
        <v>548621.0960000001</v>
      </c>
      <c r="K60" s="47">
        <f>SUM('D1:D16'!K60)</f>
        <v>18994</v>
      </c>
      <c r="L60" s="47">
        <f>SUM('D1:D16'!L60)</f>
        <v>11142</v>
      </c>
      <c r="M60" s="49"/>
    </row>
    <row r="61" spans="1:13" ht="15" hidden="1">
      <c r="A61" s="7">
        <v>41612</v>
      </c>
      <c r="B61" s="37">
        <f>SUM('D1:D16'!B61)</f>
        <v>812551.9166666667</v>
      </c>
      <c r="C61" s="33">
        <f t="shared" si="6"/>
        <v>4875311.500000001</v>
      </c>
      <c r="D61" s="37">
        <f>SUM('D1:D16'!D61)</f>
        <v>325</v>
      </c>
      <c r="E61" s="37">
        <f>SUM('D1:D16'!E61)</f>
        <v>509906.92999999993</v>
      </c>
      <c r="F61" s="33">
        <v>0</v>
      </c>
      <c r="G61" s="37">
        <f>SUM('D1:D16'!G61)</f>
        <v>510231.92999999993</v>
      </c>
      <c r="H61" s="37">
        <f>SUM('D1:D16'!H61)</f>
        <v>3253337.410000001</v>
      </c>
      <c r="I61" s="37">
        <f>SUM('D1:D16'!I61)</f>
        <v>1621974.0899999999</v>
      </c>
      <c r="J61" s="33">
        <f>H61/6</f>
        <v>542222.9016666668</v>
      </c>
      <c r="K61" s="47">
        <f>SUM('D1:D16'!K61)</f>
        <v>18846</v>
      </c>
      <c r="L61" s="47">
        <f>SUM('D1:D16'!L61)</f>
        <v>10649</v>
      </c>
      <c r="M61" s="49"/>
    </row>
    <row r="62" spans="1:13" ht="15" hidden="1">
      <c r="A62" s="7">
        <v>41643</v>
      </c>
      <c r="B62" s="37">
        <f>SUM('D1:D16'!B62)</f>
        <v>812551.9166666667</v>
      </c>
      <c r="C62" s="33">
        <f t="shared" si="6"/>
        <v>5687863.416666668</v>
      </c>
      <c r="D62" s="37">
        <f>SUM('D1:D16'!D62)</f>
        <v>621</v>
      </c>
      <c r="E62" s="37">
        <f>SUM('D1:D16'!E62)</f>
        <v>642364.9299999999</v>
      </c>
      <c r="F62" s="33">
        <v>0</v>
      </c>
      <c r="G62" s="37">
        <f>SUM('D1:D16'!G62)</f>
        <v>642985.9299999999</v>
      </c>
      <c r="H62" s="37">
        <f>SUM('D1:D16'!H62)</f>
        <v>3896323.34</v>
      </c>
      <c r="I62" s="37">
        <f>SUM('D1:D16'!I62)</f>
        <v>1791540.0766666664</v>
      </c>
      <c r="J62" s="33">
        <f>H62/7</f>
        <v>556617.62</v>
      </c>
      <c r="K62" s="47">
        <f>SUM('D1:D16'!K62)</f>
        <v>19125</v>
      </c>
      <c r="L62" s="47">
        <f>SUM('D1:D16'!L62)</f>
        <v>11556</v>
      </c>
      <c r="M62" s="49"/>
    </row>
    <row r="63" spans="1:13" ht="15" hidden="1">
      <c r="A63" s="7">
        <v>41674</v>
      </c>
      <c r="B63" s="37">
        <f>SUM('D1:D16'!B63)</f>
        <v>812551.9166666667</v>
      </c>
      <c r="C63" s="33">
        <f t="shared" si="6"/>
        <v>6500415.333333335</v>
      </c>
      <c r="D63" s="37">
        <f>SUM('D1:D16'!D63)</f>
        <v>1137</v>
      </c>
      <c r="E63" s="37">
        <f>SUM('D1:D16'!E63)</f>
        <v>569403.4600000001</v>
      </c>
      <c r="F63" s="33">
        <v>0</v>
      </c>
      <c r="G63" s="37">
        <f>SUM('D1:D16'!G63)</f>
        <v>570540.4600000001</v>
      </c>
      <c r="H63" s="37">
        <f>SUM('D1:D16'!H63)</f>
        <v>4466863.8</v>
      </c>
      <c r="I63" s="37">
        <f>SUM('D1:D16'!I63)</f>
        <v>2033551.533333333</v>
      </c>
      <c r="J63" s="33">
        <f>H63/8</f>
        <v>558357.975</v>
      </c>
      <c r="K63" s="47">
        <f>SUM('D1:D16'!K63)</f>
        <v>18989</v>
      </c>
      <c r="L63" s="47">
        <f>SUM('D1:D16'!L63)</f>
        <v>11671</v>
      </c>
      <c r="M63" s="49"/>
    </row>
    <row r="64" spans="1:13" ht="15" hidden="1">
      <c r="A64" s="7">
        <v>41705</v>
      </c>
      <c r="B64" s="37">
        <f>SUM('D1:D16'!B64)</f>
        <v>812551.9166666667</v>
      </c>
      <c r="C64" s="33">
        <f t="shared" si="6"/>
        <v>7312967.250000002</v>
      </c>
      <c r="D64" s="37">
        <f>SUM('D1:D16'!D64)</f>
        <v>309</v>
      </c>
      <c r="E64" s="37">
        <f>SUM('D1:D16'!E64)</f>
        <v>611647.64</v>
      </c>
      <c r="F64" s="33">
        <v>0</v>
      </c>
      <c r="G64" s="37">
        <f>SUM('D1:D16'!G64)</f>
        <v>611956.64</v>
      </c>
      <c r="H64" s="37">
        <f>SUM('D1:D16'!H64)</f>
        <v>5078820.440000001</v>
      </c>
      <c r="I64" s="37">
        <f>SUM('D1:D16'!I64)</f>
        <v>2234146.81</v>
      </c>
      <c r="J64" s="33">
        <f>H64/9</f>
        <v>564313.3822222224</v>
      </c>
      <c r="K64" s="47">
        <f>SUM('D1:D16'!K64)</f>
        <v>18512</v>
      </c>
      <c r="L64" s="47">
        <f>SUM('D1:D16'!L64)</f>
        <v>12800</v>
      </c>
      <c r="M64" s="49"/>
    </row>
    <row r="65" spans="1:13" ht="15" hidden="1">
      <c r="A65" s="7">
        <v>41736</v>
      </c>
      <c r="B65" s="37">
        <f>SUM('D1:D16'!B65)</f>
        <v>812551.9166666667</v>
      </c>
      <c r="C65" s="33">
        <f t="shared" si="6"/>
        <v>8125519.166666669</v>
      </c>
      <c r="D65" s="37">
        <f>SUM('D1:D16'!D65)</f>
        <v>357</v>
      </c>
      <c r="E65" s="37">
        <f>SUM('D1:D16'!E65)</f>
        <v>633723.57</v>
      </c>
      <c r="F65" s="33">
        <v>0</v>
      </c>
      <c r="G65" s="37">
        <f>SUM('D1:D16'!G65)</f>
        <v>634080.57</v>
      </c>
      <c r="H65" s="37">
        <f>SUM('D1:D16'!H65)</f>
        <v>5712901.010000002</v>
      </c>
      <c r="I65" s="37">
        <f>SUM('D1:D16'!I65)</f>
        <v>2412618.156666667</v>
      </c>
      <c r="J65" s="33">
        <f>H65/10</f>
        <v>571290.1010000001</v>
      </c>
      <c r="K65" s="47">
        <f>SUM('D1:D16'!K65)</f>
        <v>18369</v>
      </c>
      <c r="L65" s="47">
        <f>SUM('D1:D16'!L65)</f>
        <v>12607</v>
      </c>
      <c r="M65" s="49"/>
    </row>
    <row r="66" spans="1:13" ht="15" hidden="1">
      <c r="A66" s="7">
        <v>41767</v>
      </c>
      <c r="B66" s="37">
        <f>SUM('D1:D16'!B66)</f>
        <v>812551.9166666667</v>
      </c>
      <c r="C66" s="33">
        <f t="shared" si="6"/>
        <v>8938071.083333336</v>
      </c>
      <c r="D66" s="37">
        <f>SUM('D1:D16'!D66)</f>
        <v>418</v>
      </c>
      <c r="E66" s="37">
        <f>SUM('D1:D16'!E66)</f>
        <v>672722.3400000001</v>
      </c>
      <c r="F66" s="33">
        <v>0</v>
      </c>
      <c r="G66" s="37">
        <f>SUM('D1:D16'!G66)</f>
        <v>673140.3400000001</v>
      </c>
      <c r="H66" s="37">
        <f>SUM('D1:D16'!H66)</f>
        <v>6386041.3500000015</v>
      </c>
      <c r="I66" s="37">
        <f>SUM('D1:D16'!I66)</f>
        <v>2552029.733333333</v>
      </c>
      <c r="J66" s="33">
        <f>H66/11</f>
        <v>580549.2136363637</v>
      </c>
      <c r="K66" s="47">
        <f>SUM('D1:D16'!K66)</f>
        <v>17686</v>
      </c>
      <c r="L66" s="47">
        <f>SUM('D1:D16'!L66)</f>
        <v>13654</v>
      </c>
      <c r="M66" s="49"/>
    </row>
    <row r="67" spans="1:13" ht="15" hidden="1">
      <c r="A67" s="7">
        <v>41798</v>
      </c>
      <c r="B67" s="37">
        <f>SUM('D1:D16'!B67)</f>
        <v>812551.9166666667</v>
      </c>
      <c r="C67" s="33">
        <f t="shared" si="6"/>
        <v>9750623.000000002</v>
      </c>
      <c r="D67" s="37">
        <f>SUM('D1:D16'!D67)</f>
        <v>644</v>
      </c>
      <c r="E67" s="37">
        <f>SUM('D1:D16'!E67)</f>
        <v>722835</v>
      </c>
      <c r="F67" s="33">
        <v>0</v>
      </c>
      <c r="G67" s="37">
        <f>SUM('D1:D16'!G67)</f>
        <v>723479</v>
      </c>
      <c r="H67" s="37">
        <f>SUM('D1:D16'!H67)</f>
        <v>7109520.3500000015</v>
      </c>
      <c r="I67" s="37">
        <f>SUM('D1:D16'!I67)</f>
        <v>2641102.6500000004</v>
      </c>
      <c r="J67" s="33">
        <f>H67/12</f>
        <v>592460.0291666668</v>
      </c>
      <c r="K67" s="47">
        <f>SUM('D1:D16'!K67)</f>
        <v>17200</v>
      </c>
      <c r="L67" s="47">
        <f>SUM('D1:D16'!L67)</f>
        <v>13785</v>
      </c>
      <c r="M67" s="49"/>
    </row>
    <row r="68" spans="1:13" ht="15">
      <c r="A68" s="7">
        <v>41828</v>
      </c>
      <c r="B68" s="37">
        <f>SUM('D1:D16'!B68)</f>
        <v>812551.9166666667</v>
      </c>
      <c r="C68" s="33">
        <f t="shared" si="6"/>
        <v>10563174.916666668</v>
      </c>
      <c r="D68" s="37">
        <f>SUM('D1:D16'!D68)</f>
        <v>555</v>
      </c>
      <c r="E68" s="37">
        <f>SUM('D1:D16'!E68)</f>
        <v>967361</v>
      </c>
      <c r="F68" s="33">
        <v>0</v>
      </c>
      <c r="G68" s="37">
        <f>SUM('D1:D16'!G68)</f>
        <v>967916</v>
      </c>
      <c r="H68" s="37">
        <f>SUM('D1:D16'!H68)</f>
        <v>8077436.350000001</v>
      </c>
      <c r="I68" s="37">
        <f>SUM('D1:D16'!I68)</f>
        <v>2485738.5666666664</v>
      </c>
      <c r="J68" s="33">
        <f>H68/13</f>
        <v>621341.2576923077</v>
      </c>
      <c r="K68" s="47">
        <f>SUM('D1:D16'!K68)</f>
        <v>16686</v>
      </c>
      <c r="L68" s="47">
        <f>SUM('D1:D16'!L68)</f>
        <v>14114</v>
      </c>
      <c r="M68" s="30"/>
    </row>
    <row r="69" spans="1:13" ht="15">
      <c r="A69" s="7">
        <v>41859</v>
      </c>
      <c r="B69" s="37">
        <f>SUM('D1:D16'!B69)</f>
        <v>812551.9166666667</v>
      </c>
      <c r="C69" s="33">
        <f t="shared" si="6"/>
        <v>11375726.833333334</v>
      </c>
      <c r="D69" s="37">
        <f>SUM('D1:D16'!D69)</f>
        <v>205</v>
      </c>
      <c r="E69" s="37">
        <f>SUM('D1:D16'!E69)</f>
        <v>857299</v>
      </c>
      <c r="F69" s="33">
        <v>0</v>
      </c>
      <c r="G69" s="37">
        <f>SUM('D1:D16'!G69)</f>
        <v>857504</v>
      </c>
      <c r="H69" s="37">
        <f>SUM('D1:D16'!H69)</f>
        <v>8934940.350000001</v>
      </c>
      <c r="I69" s="37">
        <f>SUM('D1:D16'!I69)</f>
        <v>2440786.483333334</v>
      </c>
      <c r="J69" s="33">
        <f>H69/14</f>
        <v>638210.0250000001</v>
      </c>
      <c r="K69" s="47">
        <f>SUM('D1:D16'!K69)</f>
        <v>16251</v>
      </c>
      <c r="L69" s="47">
        <f>SUM('D1:D16'!L69)</f>
        <v>15266</v>
      </c>
      <c r="M69" s="30"/>
    </row>
    <row r="70" spans="1:13" ht="15">
      <c r="A70" s="7">
        <v>41890</v>
      </c>
      <c r="B70" s="37">
        <f>SUM('D1:D16'!B70)</f>
        <v>812551.9166666667</v>
      </c>
      <c r="C70" s="33">
        <f t="shared" si="6"/>
        <v>12188278.75</v>
      </c>
      <c r="D70" s="37">
        <f>SUM('D1:D16'!D70)</f>
        <v>553</v>
      </c>
      <c r="E70" s="37">
        <f>SUM('D1:D16'!E70)</f>
        <v>889820</v>
      </c>
      <c r="F70" s="33">
        <v>0</v>
      </c>
      <c r="G70" s="37">
        <f>SUM('D1:D16'!G70)</f>
        <v>890373</v>
      </c>
      <c r="H70" s="37">
        <f>SUM('D1:D16'!H70)</f>
        <v>9825313.349999998</v>
      </c>
      <c r="I70" s="37">
        <f>SUM('D1:D16'!I70)</f>
        <v>2362965.4000000004</v>
      </c>
      <c r="J70" s="33">
        <f>H70/15</f>
        <v>655020.8899999999</v>
      </c>
      <c r="K70" s="47">
        <f>SUM('D1:D16'!K70)</f>
        <v>15705</v>
      </c>
      <c r="L70" s="47">
        <f>SUM('D1:D16'!L70)</f>
        <v>14913</v>
      </c>
      <c r="M70" s="30"/>
    </row>
    <row r="71" spans="1:13" ht="15">
      <c r="A71" s="7">
        <v>41920</v>
      </c>
      <c r="B71" s="37">
        <f>SUM('D1:D16'!B71)</f>
        <v>812551.9166666667</v>
      </c>
      <c r="C71" s="33">
        <f t="shared" si="6"/>
        <v>13000830.666666666</v>
      </c>
      <c r="D71" s="37">
        <f>SUM('D1:D16'!D71)</f>
        <v>543</v>
      </c>
      <c r="E71" s="37">
        <f>SUM('D1:D16'!E71)</f>
        <v>967340</v>
      </c>
      <c r="F71" s="33">
        <v>0</v>
      </c>
      <c r="G71" s="37">
        <f>SUM('D1:D16'!G71)</f>
        <v>967883</v>
      </c>
      <c r="H71" s="37">
        <f>SUM('D1:D16'!H71)</f>
        <v>10793196.35</v>
      </c>
      <c r="I71" s="37">
        <f>SUM('D1:D16'!I71)</f>
        <v>2207634.316666666</v>
      </c>
      <c r="J71" s="33">
        <f>H71/16</f>
        <v>674574.771875</v>
      </c>
      <c r="K71" s="47">
        <f>SUM('D1:D16'!K71)</f>
        <v>15501</v>
      </c>
      <c r="L71" s="47">
        <f>SUM('D1:D16'!L71)</f>
        <v>14519</v>
      </c>
      <c r="M71" s="30"/>
    </row>
    <row r="72" spans="1:13" ht="15">
      <c r="A72" s="7">
        <v>41951</v>
      </c>
      <c r="B72" s="37">
        <f>SUM('D1:D16'!B72)</f>
        <v>812551.9166666667</v>
      </c>
      <c r="C72" s="33">
        <f t="shared" si="6"/>
        <v>13813382.583333332</v>
      </c>
      <c r="D72" s="37">
        <f>SUM('D1:D16'!D72)</f>
        <v>0</v>
      </c>
      <c r="E72" s="37">
        <f>SUM('D1:D16'!E72)</f>
        <v>714221</v>
      </c>
      <c r="F72" s="33">
        <v>0</v>
      </c>
      <c r="G72" s="37">
        <f>SUM('D1:D16'!G72)</f>
        <v>714221</v>
      </c>
      <c r="H72" s="37">
        <f>SUM('D1:D16'!H72)</f>
        <v>11507417.35</v>
      </c>
      <c r="I72" s="37">
        <f>SUM('D1:D16'!I72)</f>
        <v>2305965.233333333</v>
      </c>
      <c r="J72" s="33">
        <f>H72/17</f>
        <v>676906.9029411764</v>
      </c>
      <c r="K72" s="47">
        <f>SUM('D1:D16'!K72)</f>
        <v>15118</v>
      </c>
      <c r="L72" s="47">
        <f>SUM('D1:D16'!L72)</f>
        <v>14789</v>
      </c>
      <c r="M72" s="30"/>
    </row>
    <row r="73" spans="1:13" ht="15">
      <c r="A73" s="7">
        <v>41981</v>
      </c>
      <c r="B73" s="37">
        <f>SUM('D1:D16'!B73)</f>
        <v>812551.9166666667</v>
      </c>
      <c r="C73" s="33">
        <f t="shared" si="6"/>
        <v>14625934.499999998</v>
      </c>
      <c r="D73" s="37">
        <f>SUM('D1:D16'!D73)</f>
        <v>95</v>
      </c>
      <c r="E73" s="37">
        <f>SUM('D1:D16'!E73)</f>
        <v>818868</v>
      </c>
      <c r="F73" s="33">
        <v>0</v>
      </c>
      <c r="G73" s="37">
        <f>SUM('D1:D16'!G73)</f>
        <v>818963</v>
      </c>
      <c r="H73" s="37">
        <f>SUM('D1:D16'!H73)</f>
        <v>12326380.35</v>
      </c>
      <c r="I73" s="37">
        <f>SUM('D1:D16'!I73)</f>
        <v>2299554.1499999985</v>
      </c>
      <c r="J73" s="33">
        <f>H73/18</f>
        <v>684798.9083333333</v>
      </c>
      <c r="K73" s="47">
        <f>SUM('D1:D16'!K73)</f>
        <v>14798</v>
      </c>
      <c r="L73" s="47">
        <f>SUM('D1:D16'!L73)</f>
        <v>13501</v>
      </c>
      <c r="M73" s="30"/>
    </row>
    <row r="74" spans="1:13" ht="15">
      <c r="A74" s="7">
        <v>42012</v>
      </c>
      <c r="B74" s="37">
        <f>SUM('D1:D16'!B74)</f>
        <v>812551.9166666667</v>
      </c>
      <c r="C74" s="33">
        <f t="shared" si="6"/>
        <v>15438486.416666664</v>
      </c>
      <c r="D74" s="37">
        <f>SUM('D1:D16'!D74)</f>
        <v>116</v>
      </c>
      <c r="E74" s="37">
        <f>SUM('D1:D16'!E74)</f>
        <v>842777</v>
      </c>
      <c r="F74" s="33">
        <v>0</v>
      </c>
      <c r="G74" s="37">
        <f>SUM('D1:D16'!G74)</f>
        <v>842893</v>
      </c>
      <c r="H74" s="37">
        <f>SUM('D1:D16'!H74)</f>
        <v>13169273.35</v>
      </c>
      <c r="I74" s="37">
        <f>SUM('D1:D16'!I74)</f>
        <v>2269213.066666665</v>
      </c>
      <c r="J74" s="33">
        <f>H74/19</f>
        <v>693119.65</v>
      </c>
      <c r="K74" s="47">
        <f>SUM('D1:D16'!K74)</f>
        <v>14739</v>
      </c>
      <c r="L74" s="47">
        <f>SUM('D1:D16'!L74)</f>
        <v>14621</v>
      </c>
      <c r="M74" s="30"/>
    </row>
    <row r="75" spans="1:13" ht="15">
      <c r="A75" s="7">
        <v>42043</v>
      </c>
      <c r="B75" s="37">
        <f>SUM('D1:D16'!B75)</f>
        <v>812551.9166666667</v>
      </c>
      <c r="C75" s="33">
        <f t="shared" si="6"/>
        <v>16251038.33333333</v>
      </c>
      <c r="D75" s="33"/>
      <c r="E75" s="33"/>
      <c r="F75" s="33"/>
      <c r="G75" s="33"/>
      <c r="H75" s="33"/>
      <c r="I75" s="33"/>
      <c r="J75" s="33"/>
      <c r="K75" s="30"/>
      <c r="L75" s="30"/>
      <c r="M75" s="30"/>
    </row>
    <row r="76" spans="1:13" ht="15">
      <c r="A76" s="7">
        <v>42071</v>
      </c>
      <c r="B76" s="37">
        <f>SUM('D1:D16'!B76)</f>
        <v>812551.9166666667</v>
      </c>
      <c r="C76" s="33">
        <f t="shared" si="6"/>
        <v>17063590.249999996</v>
      </c>
      <c r="D76" s="33"/>
      <c r="E76" s="33"/>
      <c r="F76" s="33"/>
      <c r="G76" s="33"/>
      <c r="H76" s="33"/>
      <c r="I76" s="33"/>
      <c r="J76" s="33"/>
      <c r="K76" s="30"/>
      <c r="L76" s="30"/>
      <c r="M76" s="30"/>
    </row>
    <row r="77" spans="1:13" ht="15">
      <c r="A77" s="7">
        <v>42102</v>
      </c>
      <c r="B77" s="37">
        <f>SUM('D1:D16'!B77)</f>
        <v>812551.9166666667</v>
      </c>
      <c r="C77" s="33">
        <f t="shared" si="6"/>
        <v>17876142.166666664</v>
      </c>
      <c r="D77" s="33"/>
      <c r="E77" s="33"/>
      <c r="F77" s="33"/>
      <c r="G77" s="33"/>
      <c r="H77" s="33"/>
      <c r="I77" s="33"/>
      <c r="J77" s="33"/>
      <c r="K77" s="30"/>
      <c r="L77" s="30"/>
      <c r="M77" s="30"/>
    </row>
    <row r="78" spans="1:13" ht="15">
      <c r="A78" s="7">
        <v>42132</v>
      </c>
      <c r="B78" s="37">
        <f>SUM('D1:D16'!B78)</f>
        <v>812551.9166666667</v>
      </c>
      <c r="C78" s="33">
        <f t="shared" si="6"/>
        <v>18688694.083333332</v>
      </c>
      <c r="D78" s="33"/>
      <c r="E78" s="33"/>
      <c r="F78" s="33"/>
      <c r="G78" s="33"/>
      <c r="H78" s="33"/>
      <c r="I78" s="33"/>
      <c r="J78" s="33"/>
      <c r="K78" s="30"/>
      <c r="L78" s="30"/>
      <c r="M78" s="30"/>
    </row>
    <row r="79" spans="1:13" ht="15">
      <c r="A79" s="7">
        <v>42163</v>
      </c>
      <c r="B79" s="37">
        <f>SUM('D1:D16'!B79)</f>
        <v>812551.9166666667</v>
      </c>
      <c r="C79" s="33">
        <f t="shared" si="6"/>
        <v>19501246</v>
      </c>
      <c r="D79" s="33"/>
      <c r="E79" s="33"/>
      <c r="F79" s="33"/>
      <c r="G79" s="33"/>
      <c r="H79" s="33"/>
      <c r="I79" s="33"/>
      <c r="J79" s="33"/>
      <c r="K79" s="30"/>
      <c r="L79" s="30"/>
      <c r="M79" s="30"/>
    </row>
    <row r="80" spans="1:13" ht="15">
      <c r="A80" s="7"/>
      <c r="B80" s="37"/>
      <c r="C80" s="33"/>
      <c r="D80" s="33"/>
      <c r="E80" s="33"/>
      <c r="F80" s="33"/>
      <c r="G80" s="33"/>
      <c r="H80" s="33"/>
      <c r="I80" s="33"/>
      <c r="J80" s="33"/>
      <c r="K80" s="30"/>
      <c r="L80" s="30"/>
      <c r="M80" s="30"/>
    </row>
    <row r="81" spans="1:13" ht="15.75" hidden="1">
      <c r="A81" s="50" t="s">
        <v>21</v>
      </c>
      <c r="B81" s="25">
        <v>0</v>
      </c>
      <c r="C81" s="25" t="e">
        <f>SUM(B8:B19)</f>
        <v>#N/A</v>
      </c>
      <c r="D81" s="25" t="e">
        <f>SUM(D8:D19)</f>
        <v>#N/A</v>
      </c>
      <c r="E81" s="25" t="e">
        <f>SUM(E8:E19)</f>
        <v>#N/A</v>
      </c>
      <c r="F81" s="25"/>
      <c r="G81" s="25" t="e">
        <f>SUM(G8:G19)</f>
        <v>#N/A</v>
      </c>
      <c r="H81" s="25" t="e">
        <f>G81</f>
        <v>#N/A</v>
      </c>
      <c r="I81" s="25" t="e">
        <f>I19</f>
        <v>#N/A</v>
      </c>
      <c r="J81" s="25" t="e">
        <f>J19</f>
        <v>#N/A</v>
      </c>
      <c r="K81" s="30">
        <f>SUM(K8:K19)</f>
        <v>129444</v>
      </c>
      <c r="L81" s="30" t="e">
        <f>SUM(L8:L19)</f>
        <v>#N/A</v>
      </c>
      <c r="M81" s="30" t="e">
        <f>SUM(M8:M19)</f>
        <v>#N/A</v>
      </c>
    </row>
    <row r="82" spans="1:13" ht="15" hidden="1">
      <c r="A82" s="51" t="s">
        <v>22</v>
      </c>
      <c r="B82" s="25">
        <v>0</v>
      </c>
      <c r="C82" s="25" t="e">
        <f>C31</f>
        <v>#N/A</v>
      </c>
      <c r="D82" s="25" t="e">
        <f>SUM(D20:D31)</f>
        <v>#N/A</v>
      </c>
      <c r="E82" s="25" t="e">
        <f>SUM(E20:E31)</f>
        <v>#N/A</v>
      </c>
      <c r="F82" s="25"/>
      <c r="G82" s="25" t="e">
        <f>SUM(G20:G31)</f>
        <v>#N/A</v>
      </c>
      <c r="H82" s="25" t="e">
        <f>G82</f>
        <v>#N/A</v>
      </c>
      <c r="I82" s="25" t="e">
        <f>I31</f>
        <v>#N/A</v>
      </c>
      <c r="J82" s="25" t="e">
        <f>AVERAGE(G20:G31)</f>
        <v>#N/A</v>
      </c>
      <c r="K82" s="30" t="e">
        <f>SUM(K20:K31)</f>
        <v>#N/A</v>
      </c>
      <c r="L82" s="30" t="e">
        <f>SUM(L20:L31)</f>
        <v>#N/A</v>
      </c>
      <c r="M82" s="30" t="e">
        <f>SUM(M20:M31)</f>
        <v>#N/A</v>
      </c>
    </row>
    <row r="83" spans="1:13" ht="15.75" hidden="1">
      <c r="A83" s="50" t="s">
        <v>23</v>
      </c>
      <c r="B83" s="25">
        <f>SUM(B81:B82)</f>
        <v>0</v>
      </c>
      <c r="C83" s="25" t="e">
        <f>SUM(C81:C82)</f>
        <v>#N/A</v>
      </c>
      <c r="D83" s="25" t="e">
        <f>D81+D82</f>
        <v>#N/A</v>
      </c>
      <c r="E83" s="25" t="e">
        <f>E81+E82</f>
        <v>#N/A</v>
      </c>
      <c r="F83" s="25"/>
      <c r="G83" s="25" t="e">
        <f>G81+G82</f>
        <v>#N/A</v>
      </c>
      <c r="H83" s="25" t="e">
        <f>H81+H82</f>
        <v>#N/A</v>
      </c>
      <c r="I83" s="25"/>
      <c r="J83" s="25" t="e">
        <f>AVERAGE(G8:G31)</f>
        <v>#N/A</v>
      </c>
      <c r="K83" s="30" t="e">
        <f>SUM(K81:K82)</f>
        <v>#N/A</v>
      </c>
      <c r="L83" s="30" t="e">
        <f>SUM(L81:L82)</f>
        <v>#N/A</v>
      </c>
      <c r="M83" s="30" t="e">
        <f>SUM(M81:M82)</f>
        <v>#N/A</v>
      </c>
    </row>
    <row r="84" spans="1:13" ht="15.75" hidden="1">
      <c r="A84" s="50"/>
      <c r="B84" s="25"/>
      <c r="C84" s="25"/>
      <c r="D84" s="25"/>
      <c r="E84" s="25"/>
      <c r="F84" s="25"/>
      <c r="G84" s="25"/>
      <c r="H84" s="25"/>
      <c r="I84" s="25"/>
      <c r="J84" s="25"/>
      <c r="K84" s="30"/>
      <c r="L84" s="30"/>
      <c r="M84" s="30"/>
    </row>
    <row r="85" spans="1:13" ht="15" hidden="1">
      <c r="A85" s="20" t="s">
        <v>24</v>
      </c>
      <c r="B85" s="33" t="e">
        <f>#N/A</f>
        <v>#N/A</v>
      </c>
      <c r="C85" s="33" t="e">
        <f>#N/A</f>
        <v>#N/A</v>
      </c>
      <c r="D85" s="33" t="e">
        <f>#N/A</f>
        <v>#N/A</v>
      </c>
      <c r="E85" s="33" t="e">
        <f>#N/A</f>
        <v>#N/A</v>
      </c>
      <c r="F85" s="33" t="e">
        <f>#N/A</f>
        <v>#N/A</v>
      </c>
      <c r="G85" s="33" t="e">
        <f>#N/A</f>
        <v>#N/A</v>
      </c>
      <c r="H85" s="33" t="e">
        <f>#N/A</f>
        <v>#N/A</v>
      </c>
      <c r="I85" s="33" t="e">
        <f>I43</f>
        <v>#N/A</v>
      </c>
      <c r="J85" s="33" t="e">
        <f>#N/A</f>
        <v>#N/A</v>
      </c>
      <c r="K85" s="30" t="e">
        <f>#N/A</f>
        <v>#N/A</v>
      </c>
      <c r="L85" s="30" t="e">
        <f>#N/A</f>
        <v>#N/A</v>
      </c>
      <c r="M85" s="30" t="e">
        <f>#N/A</f>
        <v>#N/A</v>
      </c>
    </row>
    <row r="86" spans="1:13" ht="15" hidden="1">
      <c r="A86" s="20" t="s">
        <v>25</v>
      </c>
      <c r="B86" s="25" t="e">
        <f>#N/A</f>
        <v>#N/A</v>
      </c>
      <c r="C86" s="25" t="e">
        <f>SUM(B44:B55)</f>
        <v>#N/A</v>
      </c>
      <c r="D86" s="25" t="e">
        <f>SUM(D44:D55)</f>
        <v>#N/A</v>
      </c>
      <c r="E86" s="25" t="e">
        <f>SUM(E44:E55)</f>
        <v>#N/A</v>
      </c>
      <c r="F86" s="25" t="e">
        <f>SUM(F44:F55)</f>
        <v>#N/A</v>
      </c>
      <c r="G86" s="25" t="e">
        <f>SUM(G44:G55)</f>
        <v>#N/A</v>
      </c>
      <c r="H86" s="25" t="e">
        <f>G86</f>
        <v>#N/A</v>
      </c>
      <c r="I86" s="25" t="e">
        <f>I55</f>
        <v>#N/A</v>
      </c>
      <c r="J86" s="25" t="e">
        <f>J55</f>
        <v>#N/A</v>
      </c>
      <c r="K86" s="30" t="e">
        <f>SUM(K44:K55)</f>
        <v>#N/A</v>
      </c>
      <c r="L86" s="30" t="e">
        <f>SUM(L44:L55)</f>
        <v>#N/A</v>
      </c>
      <c r="M86" s="30">
        <f>SUM(M44:M55)</f>
        <v>0</v>
      </c>
    </row>
    <row r="87" spans="1:13" ht="15" hidden="1">
      <c r="A87" s="20" t="s">
        <v>26</v>
      </c>
      <c r="B87" s="25" t="e">
        <f>B85+B86</f>
        <v>#N/A</v>
      </c>
      <c r="C87" s="25" t="e">
        <f aca="true" t="shared" si="7" ref="C87:M87">SUM(C85:C86)</f>
        <v>#N/A</v>
      </c>
      <c r="D87" s="25" t="e">
        <f t="shared" si="7"/>
        <v>#N/A</v>
      </c>
      <c r="E87" s="25" t="e">
        <f t="shared" si="7"/>
        <v>#N/A</v>
      </c>
      <c r="F87" s="25" t="e">
        <f t="shared" si="7"/>
        <v>#N/A</v>
      </c>
      <c r="G87" s="25" t="e">
        <f t="shared" si="7"/>
        <v>#N/A</v>
      </c>
      <c r="H87" s="25" t="e">
        <f t="shared" si="7"/>
        <v>#N/A</v>
      </c>
      <c r="I87" s="25" t="e">
        <f t="shared" si="7"/>
        <v>#N/A</v>
      </c>
      <c r="J87" s="25" t="e">
        <f t="shared" si="7"/>
        <v>#N/A</v>
      </c>
      <c r="K87" s="30" t="e">
        <f t="shared" si="7"/>
        <v>#N/A</v>
      </c>
      <c r="L87" s="30" t="e">
        <f t="shared" si="7"/>
        <v>#N/A</v>
      </c>
      <c r="M87" s="30" t="e">
        <f t="shared" si="7"/>
        <v>#N/A</v>
      </c>
    </row>
    <row r="88" spans="1:13" ht="15">
      <c r="A88" s="20"/>
      <c r="B88" s="25"/>
      <c r="C88" s="25"/>
      <c r="D88" s="25"/>
      <c r="E88" s="25"/>
      <c r="F88" s="25"/>
      <c r="G88" s="25"/>
      <c r="H88" s="25"/>
      <c r="I88" s="25"/>
      <c r="J88" s="25"/>
      <c r="K88" s="30"/>
      <c r="L88" s="30"/>
      <c r="M88" s="30"/>
    </row>
    <row r="89" spans="1:13" s="56" customFormat="1" ht="18" hidden="1">
      <c r="A89" s="52" t="s">
        <v>27</v>
      </c>
      <c r="B89" s="53">
        <f>SUM(B56:B67)</f>
        <v>9750623.000000002</v>
      </c>
      <c r="C89" s="53">
        <f>C67</f>
        <v>9750623.000000002</v>
      </c>
      <c r="D89" s="53">
        <f>SUM(D56:D67)</f>
        <v>6431</v>
      </c>
      <c r="E89" s="53">
        <f>SUM(E56:E67)</f>
        <v>7103089.35</v>
      </c>
      <c r="F89" s="53">
        <f>SUM(F56:F67)</f>
        <v>0</v>
      </c>
      <c r="G89" s="53">
        <f>SUM(G56:G67)</f>
        <v>7109520.35</v>
      </c>
      <c r="H89" s="53">
        <f>H67</f>
        <v>7109520.3500000015</v>
      </c>
      <c r="I89" s="53">
        <f>I67</f>
        <v>2641102.6500000004</v>
      </c>
      <c r="J89" s="53">
        <f>J67</f>
        <v>592460.0291666668</v>
      </c>
      <c r="K89" s="54">
        <f>SUM(K56:K67)</f>
        <v>225223</v>
      </c>
      <c r="L89" s="54">
        <f>SUM(L56:L67)</f>
        <v>145022</v>
      </c>
      <c r="M89" s="55"/>
    </row>
    <row r="90" spans="1:13" s="56" customFormat="1" ht="18" hidden="1">
      <c r="A90" s="52" t="s">
        <v>28</v>
      </c>
      <c r="B90" s="53">
        <f>SUM(B57:B68)</f>
        <v>9750623.000000002</v>
      </c>
      <c r="C90" s="53">
        <v>9634802.000000002</v>
      </c>
      <c r="D90" s="53">
        <f>SUM(D68:D79)</f>
        <v>2067</v>
      </c>
      <c r="E90" s="53">
        <f>SUM(E68:E79)</f>
        <v>6057686</v>
      </c>
      <c r="F90" s="53">
        <f>SUM(F68:F79)</f>
        <v>0</v>
      </c>
      <c r="G90" s="53">
        <f>SUM(G68:G79)</f>
        <v>6059753</v>
      </c>
      <c r="H90" s="55"/>
      <c r="I90" s="58"/>
      <c r="J90" s="53"/>
      <c r="K90" s="54">
        <f>SUM(K68:K79)</f>
        <v>108798</v>
      </c>
      <c r="L90" s="54">
        <f>SUM(L68:L79)</f>
        <v>101723</v>
      </c>
      <c r="M90" s="55"/>
    </row>
    <row r="91" spans="1:13" ht="18">
      <c r="A91" s="20" t="s">
        <v>29</v>
      </c>
      <c r="B91" s="8">
        <v>19501246</v>
      </c>
      <c r="C91" s="8">
        <f>C79</f>
        <v>19501246</v>
      </c>
      <c r="D91" s="8">
        <f aca="true" t="shared" si="8" ref="D91:L91">D89+D90</f>
        <v>8498</v>
      </c>
      <c r="E91" s="8">
        <f t="shared" si="8"/>
        <v>13160775.35</v>
      </c>
      <c r="F91" s="8">
        <f t="shared" si="8"/>
        <v>0</v>
      </c>
      <c r="G91" s="8">
        <f t="shared" si="8"/>
        <v>13169273.35</v>
      </c>
      <c r="H91" s="8">
        <f>H74</f>
        <v>13169273.35</v>
      </c>
      <c r="I91" s="8">
        <f>I74</f>
        <v>2269213.066666665</v>
      </c>
      <c r="J91" s="8">
        <f>J74</f>
        <v>693119.65</v>
      </c>
      <c r="K91" s="9">
        <f t="shared" si="8"/>
        <v>334021</v>
      </c>
      <c r="L91" s="9">
        <f t="shared" si="8"/>
        <v>246745</v>
      </c>
      <c r="M91" s="10"/>
    </row>
    <row r="92" spans="1:12" ht="15.75">
      <c r="A92" s="20"/>
      <c r="B92" s="25"/>
      <c r="C92" s="25"/>
      <c r="D92" s="26"/>
      <c r="E92" s="25"/>
      <c r="F92" s="25"/>
      <c r="G92" s="25"/>
      <c r="I92" s="50"/>
      <c r="J92" s="25"/>
      <c r="K92" s="27"/>
      <c r="L92" s="27"/>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2:7" ht="15">
      <c r="B97" s="29"/>
      <c r="C97" s="29"/>
      <c r="D97" s="30"/>
      <c r="E97" s="29"/>
      <c r="F97" s="29"/>
      <c r="G97" s="30"/>
    </row>
    <row r="98" spans="1:7" ht="18">
      <c r="A98" s="5"/>
      <c r="B98" s="28"/>
      <c r="C98" s="29"/>
      <c r="D98" s="29"/>
      <c r="E98" s="29"/>
      <c r="F98" s="29"/>
      <c r="G98" s="30"/>
    </row>
    <row r="99" spans="1:7" ht="15">
      <c r="A99" s="20"/>
      <c r="B99" s="29"/>
      <c r="C99" s="29"/>
      <c r="D99" s="29"/>
      <c r="E99" s="29"/>
      <c r="F99" s="29"/>
      <c r="G99" s="29"/>
    </row>
    <row r="100" spans="1:7" ht="15">
      <c r="A100" s="20"/>
      <c r="B100" s="29"/>
      <c r="C100" s="29"/>
      <c r="D100" s="29"/>
      <c r="E100" s="29"/>
      <c r="F100" s="29"/>
      <c r="G100" s="29"/>
    </row>
  </sheetData>
  <sheetProtection/>
  <printOptions horizontalCentered="1"/>
  <pageMargins left="0.28" right="0.22" top="0.43" bottom="0.45" header="0.5" footer="0.5"/>
  <pageSetup fitToHeight="1" fitToWidth="1" horizontalDpi="600" verticalDpi="600" orientation="landscape" scale="53" r:id="rId1"/>
  <headerFooter alignWithMargins="0">
    <oddFooter>&amp;L&amp;F    &amp;A&amp;C&amp;D&amp;T&amp;R&amp;P</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zoomScale="70" zoomScaleNormal="70" zoomScalePageLayoutView="0" workbookViewId="0" topLeftCell="A1">
      <pane xSplit="1" ySplit="7" topLeftCell="B68"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3" width="17.28125" style="4" customWidth="1"/>
    <col min="4" max="4" width="21.00390625" style="4" customWidth="1"/>
    <col min="5" max="5" width="19.00390625" style="4" customWidth="1"/>
    <col min="6" max="6" width="16.8515625" style="4" customWidth="1"/>
    <col min="7" max="7" width="18.28125" style="4" customWidth="1"/>
    <col min="8" max="8" width="15.00390625" style="4" customWidth="1"/>
    <col min="9" max="9" width="16.57421875" style="4" customWidth="1"/>
    <col min="10" max="10" width="17.28125" style="4" customWidth="1"/>
    <col min="11" max="11" width="14.28125" style="4" customWidth="1"/>
    <col min="12" max="12" width="13.7109375" style="4" customWidth="1"/>
    <col min="13" max="13" width="8.57421875" style="4" hidden="1" customWidth="1"/>
  </cols>
  <sheetData>
    <row r="1" spans="1:10" ht="18">
      <c r="A1" s="1" t="s">
        <v>0</v>
      </c>
      <c r="B1" s="2"/>
      <c r="C1" s="3"/>
      <c r="D1" s="3"/>
      <c r="E1" s="3"/>
      <c r="F1" s="3"/>
      <c r="G1" s="2"/>
      <c r="H1" s="2"/>
      <c r="I1" s="2"/>
      <c r="J1" s="2"/>
    </row>
    <row r="2" spans="1:2" ht="18">
      <c r="A2" s="5" t="s">
        <v>1</v>
      </c>
      <c r="B2" s="6">
        <v>2</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613504.5</v>
      </c>
      <c r="C8" s="25">
        <f>B8</f>
        <v>613504.5</v>
      </c>
      <c r="D8" s="25">
        <v>21004</v>
      </c>
      <c r="E8" s="25">
        <v>610497</v>
      </c>
      <c r="F8" s="25"/>
      <c r="G8" s="25">
        <f aca="true" t="shared" si="1" ref="G8:G31">D8+E8</f>
        <v>631501</v>
      </c>
      <c r="H8" s="25">
        <f>G8</f>
        <v>631501</v>
      </c>
      <c r="I8" s="25">
        <f aca="true" t="shared" si="2" ref="I8:I39">C8-H8</f>
        <v>-17996.5</v>
      </c>
      <c r="J8" s="25">
        <f>H8</f>
        <v>631501</v>
      </c>
      <c r="K8" s="30">
        <v>2935</v>
      </c>
      <c r="L8" s="30">
        <v>3187</v>
      </c>
    </row>
    <row r="9" spans="1:12" ht="15" hidden="1">
      <c r="A9" s="7">
        <v>39295</v>
      </c>
      <c r="B9" s="25">
        <f t="shared" si="0"/>
        <v>613504.5</v>
      </c>
      <c r="C9" s="25">
        <f aca="true" t="shared" si="3" ref="C9:C19">C8+B9</f>
        <v>1227009</v>
      </c>
      <c r="D9" s="25">
        <v>29100</v>
      </c>
      <c r="E9" s="25">
        <v>528935</v>
      </c>
      <c r="F9" s="25"/>
      <c r="G9" s="25">
        <f t="shared" si="1"/>
        <v>558035</v>
      </c>
      <c r="H9" s="25">
        <f aca="true" t="shared" si="4" ref="H9:H19">H8+G9</f>
        <v>1189536</v>
      </c>
      <c r="I9" s="25">
        <f t="shared" si="2"/>
        <v>37473</v>
      </c>
      <c r="J9" s="25">
        <f>AVERAGE(G8:G9)</f>
        <v>594768</v>
      </c>
      <c r="K9" s="30">
        <v>2988</v>
      </c>
      <c r="L9" s="30">
        <v>2926</v>
      </c>
    </row>
    <row r="10" spans="1:12" ht="15" hidden="1">
      <c r="A10" s="7">
        <v>39326</v>
      </c>
      <c r="B10" s="25">
        <f t="shared" si="0"/>
        <v>613504.5</v>
      </c>
      <c r="C10" s="25">
        <f t="shared" si="3"/>
        <v>1840513.5</v>
      </c>
      <c r="D10" s="25">
        <v>19189</v>
      </c>
      <c r="E10" s="25">
        <v>539651</v>
      </c>
      <c r="F10" s="25"/>
      <c r="G10" s="25">
        <f t="shared" si="1"/>
        <v>558840</v>
      </c>
      <c r="H10" s="25">
        <f t="shared" si="4"/>
        <v>1748376</v>
      </c>
      <c r="I10" s="25">
        <f t="shared" si="2"/>
        <v>92137.5</v>
      </c>
      <c r="J10" s="25">
        <f>AVERAGE(G8:G10)</f>
        <v>582792</v>
      </c>
      <c r="K10" s="30">
        <v>3171</v>
      </c>
      <c r="L10" s="30">
        <v>3610</v>
      </c>
    </row>
    <row r="11" spans="1:13" ht="15" hidden="1">
      <c r="A11" s="7">
        <v>39356</v>
      </c>
      <c r="B11" s="25">
        <f t="shared" si="0"/>
        <v>613504.5</v>
      </c>
      <c r="C11" s="25">
        <f t="shared" si="3"/>
        <v>2454018</v>
      </c>
      <c r="D11" s="25">
        <v>29317</v>
      </c>
      <c r="E11" s="25">
        <v>600964</v>
      </c>
      <c r="F11" s="25"/>
      <c r="G11" s="25">
        <f t="shared" si="1"/>
        <v>630281</v>
      </c>
      <c r="H11" s="25">
        <f t="shared" si="4"/>
        <v>2378657</v>
      </c>
      <c r="I11" s="25">
        <f t="shared" si="2"/>
        <v>75361</v>
      </c>
      <c r="J11" s="25">
        <f>AVERAGE(G8:G11)</f>
        <v>594664.25</v>
      </c>
      <c r="K11" s="30">
        <v>3204</v>
      </c>
      <c r="L11" s="30">
        <v>3312</v>
      </c>
      <c r="M11" s="29">
        <v>53</v>
      </c>
    </row>
    <row r="12" spans="1:13" ht="15" hidden="1">
      <c r="A12" s="7">
        <v>39387</v>
      </c>
      <c r="B12" s="25">
        <f t="shared" si="0"/>
        <v>613504.5</v>
      </c>
      <c r="C12" s="25">
        <f t="shared" si="3"/>
        <v>3067522.5</v>
      </c>
      <c r="D12" s="25">
        <v>31100</v>
      </c>
      <c r="E12" s="25">
        <v>689597</v>
      </c>
      <c r="F12" s="25"/>
      <c r="G12" s="25">
        <f t="shared" si="1"/>
        <v>720697</v>
      </c>
      <c r="H12" s="25">
        <f t="shared" si="4"/>
        <v>3099354</v>
      </c>
      <c r="I12" s="25">
        <f t="shared" si="2"/>
        <v>-31831.5</v>
      </c>
      <c r="J12" s="25">
        <f>AVERAGE(G8:G12)</f>
        <v>619870.8</v>
      </c>
      <c r="K12" s="30">
        <v>3142</v>
      </c>
      <c r="L12" s="30">
        <v>3343</v>
      </c>
      <c r="M12" s="29">
        <v>96</v>
      </c>
    </row>
    <row r="13" spans="1:13" ht="15" hidden="1">
      <c r="A13" s="7">
        <v>39417</v>
      </c>
      <c r="B13" s="25">
        <f t="shared" si="0"/>
        <v>613504.5</v>
      </c>
      <c r="C13" s="25">
        <f t="shared" si="3"/>
        <v>3681027</v>
      </c>
      <c r="D13" s="25">
        <v>23278</v>
      </c>
      <c r="E13" s="25">
        <v>748893</v>
      </c>
      <c r="F13" s="25"/>
      <c r="G13" s="25">
        <f t="shared" si="1"/>
        <v>772171</v>
      </c>
      <c r="H13" s="25">
        <f t="shared" si="4"/>
        <v>3871525</v>
      </c>
      <c r="I13" s="25">
        <f t="shared" si="2"/>
        <v>-190498</v>
      </c>
      <c r="J13" s="25">
        <f>AVERAGE(G12:G13)</f>
        <v>746434</v>
      </c>
      <c r="K13" s="30">
        <v>3177</v>
      </c>
      <c r="L13" s="30">
        <v>3450</v>
      </c>
      <c r="M13" s="29">
        <v>175</v>
      </c>
    </row>
    <row r="14" spans="1:13" ht="15" hidden="1">
      <c r="A14" s="7">
        <v>39448</v>
      </c>
      <c r="B14" s="25">
        <f t="shared" si="0"/>
        <v>613504.5</v>
      </c>
      <c r="C14" s="25">
        <f t="shared" si="3"/>
        <v>4294531.5</v>
      </c>
      <c r="D14" s="25">
        <v>27872</v>
      </c>
      <c r="E14" s="25">
        <v>645949</v>
      </c>
      <c r="F14" s="25"/>
      <c r="G14" s="25">
        <f t="shared" si="1"/>
        <v>673821</v>
      </c>
      <c r="H14" s="25">
        <f t="shared" si="4"/>
        <v>4545346</v>
      </c>
      <c r="I14" s="25">
        <f t="shared" si="2"/>
        <v>-250814.5</v>
      </c>
      <c r="J14" s="25">
        <f>AVERAGE(G12:G14)</f>
        <v>722229.6666666666</v>
      </c>
      <c r="K14" s="30">
        <v>3308</v>
      </c>
      <c r="L14" s="30">
        <v>3658</v>
      </c>
      <c r="M14" s="29">
        <v>231</v>
      </c>
    </row>
    <row r="15" spans="1:13" ht="15" hidden="1">
      <c r="A15" s="7">
        <v>39479</v>
      </c>
      <c r="B15" s="25">
        <f t="shared" si="0"/>
        <v>613504.5</v>
      </c>
      <c r="C15" s="25">
        <f t="shared" si="3"/>
        <v>4908036</v>
      </c>
      <c r="D15" s="25">
        <v>36712</v>
      </c>
      <c r="E15" s="25">
        <v>672233</v>
      </c>
      <c r="F15" s="25"/>
      <c r="G15" s="25">
        <f t="shared" si="1"/>
        <v>708945</v>
      </c>
      <c r="H15" s="25">
        <f t="shared" si="4"/>
        <v>5254291</v>
      </c>
      <c r="I15" s="25">
        <f t="shared" si="2"/>
        <v>-346255</v>
      </c>
      <c r="J15" s="25">
        <f>AVERAGE(G12:G15)</f>
        <v>718908.5</v>
      </c>
      <c r="K15" s="30">
        <v>3368</v>
      </c>
      <c r="L15" s="30">
        <v>3771</v>
      </c>
      <c r="M15" s="29">
        <v>279</v>
      </c>
    </row>
    <row r="16" spans="1:13" ht="15" hidden="1">
      <c r="A16" s="7">
        <v>39508</v>
      </c>
      <c r="B16" s="25">
        <f t="shared" si="0"/>
        <v>613504.5</v>
      </c>
      <c r="C16" s="25">
        <f t="shared" si="3"/>
        <v>5521540.5</v>
      </c>
      <c r="D16" s="25">
        <v>24071</v>
      </c>
      <c r="E16" s="25">
        <v>684278</v>
      </c>
      <c r="F16" s="25"/>
      <c r="G16" s="25">
        <f t="shared" si="1"/>
        <v>708349</v>
      </c>
      <c r="H16" s="25">
        <f t="shared" si="4"/>
        <v>5962640</v>
      </c>
      <c r="I16" s="25">
        <f t="shared" si="2"/>
        <v>-441099.5</v>
      </c>
      <c r="J16" s="25">
        <f>AVERAGE(G12:G16)</f>
        <v>716796.6</v>
      </c>
      <c r="K16" s="30">
        <v>3455</v>
      </c>
      <c r="L16" s="30">
        <v>3841</v>
      </c>
      <c r="M16" s="29">
        <v>327</v>
      </c>
    </row>
    <row r="17" spans="1:13" ht="15" hidden="1">
      <c r="A17" s="7">
        <v>39539</v>
      </c>
      <c r="B17" s="25">
        <f t="shared" si="0"/>
        <v>613504.5</v>
      </c>
      <c r="C17" s="25">
        <f t="shared" si="3"/>
        <v>6135045</v>
      </c>
      <c r="D17" s="25">
        <v>59117</v>
      </c>
      <c r="E17" s="25">
        <v>720917</v>
      </c>
      <c r="F17" s="25"/>
      <c r="G17" s="25">
        <f t="shared" si="1"/>
        <v>780034</v>
      </c>
      <c r="H17" s="25">
        <f t="shared" si="4"/>
        <v>6742674</v>
      </c>
      <c r="I17" s="25">
        <f t="shared" si="2"/>
        <v>-607629</v>
      </c>
      <c r="J17" s="25">
        <f>AVERAGE(G14:G17)</f>
        <v>717787.25</v>
      </c>
      <c r="K17" s="30">
        <v>3588</v>
      </c>
      <c r="L17" s="30">
        <v>4019</v>
      </c>
      <c r="M17" s="29">
        <v>387</v>
      </c>
    </row>
    <row r="18" spans="1:13" ht="15" hidden="1">
      <c r="A18" s="7">
        <v>39569</v>
      </c>
      <c r="B18" s="33">
        <f t="shared" si="0"/>
        <v>613504.5</v>
      </c>
      <c r="C18" s="33">
        <f t="shared" si="3"/>
        <v>6748549.5</v>
      </c>
      <c r="D18" s="33">
        <v>55942</v>
      </c>
      <c r="E18" s="33">
        <v>740543</v>
      </c>
      <c r="F18" s="33"/>
      <c r="G18" s="25">
        <f t="shared" si="1"/>
        <v>796485</v>
      </c>
      <c r="H18" s="25">
        <f t="shared" si="4"/>
        <v>7539159</v>
      </c>
      <c r="I18" s="25">
        <f t="shared" si="2"/>
        <v>-790609.5</v>
      </c>
      <c r="J18" s="25">
        <f>AVERAGE(G14:G18)</f>
        <v>733526.8</v>
      </c>
      <c r="K18" s="30">
        <v>3702</v>
      </c>
      <c r="L18" s="30">
        <v>4362</v>
      </c>
      <c r="M18" s="29">
        <v>482</v>
      </c>
    </row>
    <row r="19" spans="1:13" ht="15.75" hidden="1" thickBot="1">
      <c r="A19" s="7">
        <v>39600</v>
      </c>
      <c r="B19" s="34">
        <f t="shared" si="0"/>
        <v>613504.5</v>
      </c>
      <c r="C19" s="34">
        <f t="shared" si="3"/>
        <v>7362054</v>
      </c>
      <c r="D19" s="34">
        <v>60766</v>
      </c>
      <c r="E19" s="34">
        <v>746761</v>
      </c>
      <c r="F19" s="34"/>
      <c r="G19" s="34">
        <f t="shared" si="1"/>
        <v>807527</v>
      </c>
      <c r="H19" s="34">
        <f t="shared" si="4"/>
        <v>8346686</v>
      </c>
      <c r="I19" s="34">
        <f t="shared" si="2"/>
        <v>-984632</v>
      </c>
      <c r="J19" s="34">
        <f>AVERAGE(G15:G19)</f>
        <v>760268</v>
      </c>
      <c r="K19" s="35">
        <v>3828</v>
      </c>
      <c r="L19" s="35">
        <v>4220</v>
      </c>
      <c r="M19" s="36">
        <v>542</v>
      </c>
    </row>
    <row r="20" spans="1:13" ht="15" hidden="1">
      <c r="A20" s="7">
        <v>39630</v>
      </c>
      <c r="B20" s="37">
        <v>939454</v>
      </c>
      <c r="C20" s="33">
        <f>B20</f>
        <v>939454</v>
      </c>
      <c r="D20" s="33">
        <v>67711</v>
      </c>
      <c r="E20" s="33">
        <v>797896</v>
      </c>
      <c r="F20" s="33"/>
      <c r="G20" s="33">
        <f t="shared" si="1"/>
        <v>865607</v>
      </c>
      <c r="H20" s="33">
        <f>G20</f>
        <v>865607</v>
      </c>
      <c r="I20" s="33">
        <f t="shared" si="2"/>
        <v>73847</v>
      </c>
      <c r="J20" s="33">
        <f>H20</f>
        <v>865607</v>
      </c>
      <c r="K20" s="30">
        <v>3934</v>
      </c>
      <c r="L20" s="30">
        <v>4380</v>
      </c>
      <c r="M20" s="29">
        <v>576</v>
      </c>
    </row>
    <row r="21" spans="1:13" ht="15" hidden="1">
      <c r="A21" s="7">
        <v>39661</v>
      </c>
      <c r="B21" s="37">
        <v>939454</v>
      </c>
      <c r="C21" s="33">
        <f aca="true" t="shared" si="5" ref="C21:C31">C20+B21</f>
        <v>1878908</v>
      </c>
      <c r="D21" s="33">
        <v>40840</v>
      </c>
      <c r="E21" s="33">
        <v>798071</v>
      </c>
      <c r="F21" s="33"/>
      <c r="G21" s="33">
        <f t="shared" si="1"/>
        <v>838911</v>
      </c>
      <c r="H21" s="33">
        <f aca="true" t="shared" si="6" ref="H21:H31">H20+G21</f>
        <v>1704518</v>
      </c>
      <c r="I21" s="33">
        <f t="shared" si="2"/>
        <v>174390</v>
      </c>
      <c r="J21" s="33">
        <f>H21/2</f>
        <v>852259</v>
      </c>
      <c r="K21" s="30">
        <v>3963</v>
      </c>
      <c r="L21" s="30">
        <v>4472</v>
      </c>
      <c r="M21" s="29">
        <v>619</v>
      </c>
    </row>
    <row r="22" spans="1:13" ht="15" hidden="1">
      <c r="A22" s="7">
        <v>39692</v>
      </c>
      <c r="B22" s="37">
        <v>939454</v>
      </c>
      <c r="C22" s="33">
        <f t="shared" si="5"/>
        <v>2818362</v>
      </c>
      <c r="D22" s="33">
        <v>45784</v>
      </c>
      <c r="E22" s="33">
        <v>914111</v>
      </c>
      <c r="F22" s="33"/>
      <c r="G22" s="33">
        <f t="shared" si="1"/>
        <v>959895</v>
      </c>
      <c r="H22" s="33">
        <f t="shared" si="6"/>
        <v>2664413</v>
      </c>
      <c r="I22" s="33">
        <f t="shared" si="2"/>
        <v>153949</v>
      </c>
      <c r="J22" s="33">
        <f>H22/3</f>
        <v>888137.6666666666</v>
      </c>
      <c r="K22" s="30">
        <v>4041</v>
      </c>
      <c r="L22" s="30">
        <v>4562</v>
      </c>
      <c r="M22" s="29">
        <v>676</v>
      </c>
    </row>
    <row r="23" spans="1:13" ht="15" hidden="1">
      <c r="A23" s="7">
        <v>39722</v>
      </c>
      <c r="B23" s="37">
        <v>939454</v>
      </c>
      <c r="C23" s="33">
        <f t="shared" si="5"/>
        <v>3757816</v>
      </c>
      <c r="D23" s="33">
        <v>83322</v>
      </c>
      <c r="E23" s="33">
        <v>844919</v>
      </c>
      <c r="F23" s="33"/>
      <c r="G23" s="33">
        <f t="shared" si="1"/>
        <v>928241</v>
      </c>
      <c r="H23" s="33">
        <f t="shared" si="6"/>
        <v>3592654</v>
      </c>
      <c r="I23" s="33">
        <f t="shared" si="2"/>
        <v>165162</v>
      </c>
      <c r="J23" s="33">
        <f>H23/4</f>
        <v>898163.5</v>
      </c>
      <c r="K23" s="30">
        <v>4178</v>
      </c>
      <c r="L23" s="30">
        <v>4532</v>
      </c>
      <c r="M23" s="29">
        <v>704</v>
      </c>
    </row>
    <row r="24" spans="1:13" ht="15" hidden="1">
      <c r="A24" s="7">
        <v>39753</v>
      </c>
      <c r="B24" s="37">
        <v>939454</v>
      </c>
      <c r="C24" s="33">
        <f t="shared" si="5"/>
        <v>4697270</v>
      </c>
      <c r="D24" s="33">
        <v>58503</v>
      </c>
      <c r="E24" s="33">
        <v>751011</v>
      </c>
      <c r="F24" s="33"/>
      <c r="G24" s="33">
        <f t="shared" si="1"/>
        <v>809514</v>
      </c>
      <c r="H24" s="33">
        <f t="shared" si="6"/>
        <v>4402168</v>
      </c>
      <c r="I24" s="33">
        <f t="shared" si="2"/>
        <v>295102</v>
      </c>
      <c r="J24" s="33">
        <f>H24/5</f>
        <v>880433.6</v>
      </c>
      <c r="K24" s="30">
        <v>4323</v>
      </c>
      <c r="L24" s="30">
        <v>4607</v>
      </c>
      <c r="M24" s="29">
        <v>744</v>
      </c>
    </row>
    <row r="25" spans="1:13" ht="15" hidden="1">
      <c r="A25" s="7">
        <v>39783</v>
      </c>
      <c r="B25" s="38">
        <v>758302.1428571428</v>
      </c>
      <c r="C25" s="33">
        <f t="shared" si="5"/>
        <v>5455572.142857143</v>
      </c>
      <c r="D25" s="33">
        <v>44038</v>
      </c>
      <c r="E25" s="33">
        <v>798288</v>
      </c>
      <c r="F25" s="33"/>
      <c r="G25" s="33">
        <f t="shared" si="1"/>
        <v>842326</v>
      </c>
      <c r="H25" s="33">
        <f t="shared" si="6"/>
        <v>5244494</v>
      </c>
      <c r="I25" s="33">
        <f t="shared" si="2"/>
        <v>211078.14285714272</v>
      </c>
      <c r="J25" s="33">
        <f>H25/6</f>
        <v>874082.3333333334</v>
      </c>
      <c r="K25" s="30">
        <v>4449</v>
      </c>
      <c r="L25" s="30">
        <v>3823</v>
      </c>
      <c r="M25" s="29">
        <v>695</v>
      </c>
    </row>
    <row r="26" spans="1:13" ht="15" hidden="1">
      <c r="A26" s="7">
        <v>39814</v>
      </c>
      <c r="B26" s="38">
        <v>758302.1428571428</v>
      </c>
      <c r="C26" s="33">
        <f t="shared" si="5"/>
        <v>6213874.285714285</v>
      </c>
      <c r="D26" s="33">
        <v>41674</v>
      </c>
      <c r="E26" s="33">
        <v>674965</v>
      </c>
      <c r="F26" s="33"/>
      <c r="G26" s="33">
        <f t="shared" si="1"/>
        <v>716639</v>
      </c>
      <c r="H26" s="33">
        <f t="shared" si="6"/>
        <v>5961133</v>
      </c>
      <c r="I26" s="33">
        <f t="shared" si="2"/>
        <v>252741.28571428545</v>
      </c>
      <c r="J26" s="33">
        <f>H26/7</f>
        <v>851590.4285714285</v>
      </c>
      <c r="K26" s="30">
        <v>4580</v>
      </c>
      <c r="L26" s="30">
        <v>3852</v>
      </c>
      <c r="M26" s="29">
        <v>678</v>
      </c>
    </row>
    <row r="27" spans="1:13" ht="15" hidden="1">
      <c r="A27" s="7">
        <v>39845</v>
      </c>
      <c r="B27" s="38">
        <v>758302.1428571428</v>
      </c>
      <c r="C27" s="33">
        <f t="shared" si="5"/>
        <v>6972176.428571428</v>
      </c>
      <c r="D27" s="33">
        <v>39596</v>
      </c>
      <c r="E27" s="33">
        <v>565759</v>
      </c>
      <c r="F27" s="33"/>
      <c r="G27" s="33">
        <f t="shared" si="1"/>
        <v>605355</v>
      </c>
      <c r="H27" s="33">
        <f t="shared" si="6"/>
        <v>6566488</v>
      </c>
      <c r="I27" s="33">
        <f t="shared" si="2"/>
        <v>405688.4285714282</v>
      </c>
      <c r="J27" s="33">
        <f>H27/8</f>
        <v>820811</v>
      </c>
      <c r="K27" s="30">
        <v>4761</v>
      </c>
      <c r="L27" s="30">
        <v>3349</v>
      </c>
      <c r="M27" s="29">
        <v>663</v>
      </c>
    </row>
    <row r="28" spans="1:13" ht="15" hidden="1">
      <c r="A28" s="7">
        <v>39873</v>
      </c>
      <c r="B28" s="38">
        <v>758302.1428571428</v>
      </c>
      <c r="C28" s="33">
        <f t="shared" si="5"/>
        <v>7730478.571428571</v>
      </c>
      <c r="D28" s="33">
        <v>35191</v>
      </c>
      <c r="E28" s="33">
        <v>638066</v>
      </c>
      <c r="F28" s="33"/>
      <c r="G28" s="33">
        <f t="shared" si="1"/>
        <v>673257</v>
      </c>
      <c r="H28" s="33">
        <f t="shared" si="6"/>
        <v>7239745</v>
      </c>
      <c r="I28" s="33">
        <f t="shared" si="2"/>
        <v>490733.5714285709</v>
      </c>
      <c r="J28" s="33">
        <f>H28/9</f>
        <v>804416.1111111111</v>
      </c>
      <c r="K28" s="30">
        <v>4917</v>
      </c>
      <c r="L28" s="30">
        <v>3150</v>
      </c>
      <c r="M28" s="4">
        <v>619</v>
      </c>
    </row>
    <row r="29" spans="1:13" ht="15" hidden="1">
      <c r="A29" s="7">
        <v>39904</v>
      </c>
      <c r="B29" s="38">
        <v>758302.1428571428</v>
      </c>
      <c r="C29" s="33">
        <f t="shared" si="5"/>
        <v>8488780.714285715</v>
      </c>
      <c r="D29" s="33">
        <v>16936</v>
      </c>
      <c r="E29" s="33">
        <v>548305</v>
      </c>
      <c r="F29" s="33"/>
      <c r="G29" s="33">
        <f t="shared" si="1"/>
        <v>565241</v>
      </c>
      <c r="H29" s="33">
        <f t="shared" si="6"/>
        <v>7804986</v>
      </c>
      <c r="I29" s="33">
        <f t="shared" si="2"/>
        <v>683794.7142857146</v>
      </c>
      <c r="J29" s="33">
        <f>H29/10</f>
        <v>780498.6</v>
      </c>
      <c r="K29" s="30">
        <v>5049</v>
      </c>
      <c r="L29" s="30">
        <v>3161</v>
      </c>
      <c r="M29" s="4">
        <v>575</v>
      </c>
    </row>
    <row r="30" spans="1:13" ht="15" hidden="1">
      <c r="A30" s="7">
        <v>39934</v>
      </c>
      <c r="B30" s="38">
        <v>758302.1428571428</v>
      </c>
      <c r="C30" s="33">
        <f t="shared" si="5"/>
        <v>9247082.857142858</v>
      </c>
      <c r="D30" s="33">
        <v>12897</v>
      </c>
      <c r="E30" s="33">
        <v>543901</v>
      </c>
      <c r="F30" s="33"/>
      <c r="G30" s="33">
        <f t="shared" si="1"/>
        <v>556798</v>
      </c>
      <c r="H30" s="33">
        <f t="shared" si="6"/>
        <v>8361784</v>
      </c>
      <c r="I30" s="33">
        <f t="shared" si="2"/>
        <v>885298.8571428582</v>
      </c>
      <c r="J30" s="33">
        <f>H30/11</f>
        <v>760162.1818181818</v>
      </c>
      <c r="K30" s="30">
        <v>5096</v>
      </c>
      <c r="L30" s="30">
        <v>3359</v>
      </c>
      <c r="M30" s="4">
        <v>519</v>
      </c>
    </row>
    <row r="31" spans="1:13" ht="15.75" hidden="1" thickBot="1">
      <c r="A31" s="7">
        <v>39965</v>
      </c>
      <c r="B31" s="39">
        <v>758302.1428571428</v>
      </c>
      <c r="C31" s="34">
        <f t="shared" si="5"/>
        <v>10005385.000000002</v>
      </c>
      <c r="D31" s="34">
        <v>18024</v>
      </c>
      <c r="E31" s="34">
        <v>534689</v>
      </c>
      <c r="F31" s="34"/>
      <c r="G31" s="34">
        <f t="shared" si="1"/>
        <v>552713</v>
      </c>
      <c r="H31" s="34">
        <f t="shared" si="6"/>
        <v>8914497</v>
      </c>
      <c r="I31" s="34">
        <f t="shared" si="2"/>
        <v>1090888.0000000019</v>
      </c>
      <c r="J31" s="34">
        <f>H31/12</f>
        <v>742874.75</v>
      </c>
      <c r="K31" s="40">
        <v>5125</v>
      </c>
      <c r="L31" s="40">
        <v>2981</v>
      </c>
      <c r="M31" s="41">
        <v>492</v>
      </c>
    </row>
    <row r="32" spans="1:13" ht="18" hidden="1">
      <c r="A32" s="7">
        <v>40725</v>
      </c>
      <c r="B32" s="37">
        <f aca="true" t="shared" si="7" ref="B32:B43">$B$85/12</f>
        <v>172493</v>
      </c>
      <c r="C32" s="33">
        <f>B32</f>
        <v>172493</v>
      </c>
      <c r="D32" s="33">
        <v>800</v>
      </c>
      <c r="E32" s="33">
        <f>61054-F32</f>
        <v>61232</v>
      </c>
      <c r="F32" s="33">
        <v>-178</v>
      </c>
      <c r="G32" s="33">
        <f>D32+E32+F32</f>
        <v>61854</v>
      </c>
      <c r="H32" s="33">
        <f>G32</f>
        <v>61854</v>
      </c>
      <c r="I32" s="33">
        <f t="shared" si="2"/>
        <v>110639</v>
      </c>
      <c r="J32" s="11">
        <f>H32</f>
        <v>61854</v>
      </c>
      <c r="K32" s="42">
        <v>7268</v>
      </c>
      <c r="L32" s="42">
        <v>4077</v>
      </c>
      <c r="M32" s="43">
        <v>378</v>
      </c>
    </row>
    <row r="33" spans="1:13" ht="18" hidden="1">
      <c r="A33" s="7">
        <v>40756</v>
      </c>
      <c r="B33" s="37">
        <f t="shared" si="7"/>
        <v>172493</v>
      </c>
      <c r="C33" s="33">
        <f aca="true" t="shared" si="8" ref="C33:C43">C32+B33</f>
        <v>344986</v>
      </c>
      <c r="D33" s="33">
        <v>0</v>
      </c>
      <c r="E33" s="33">
        <f>61587+2115+25</f>
        <v>63727</v>
      </c>
      <c r="F33" s="33">
        <v>0</v>
      </c>
      <c r="G33" s="33">
        <f>D33+E33</f>
        <v>63727</v>
      </c>
      <c r="H33" s="33">
        <f aca="true" t="shared" si="9" ref="H33:H43">H32+G33</f>
        <v>125581</v>
      </c>
      <c r="I33" s="33">
        <f t="shared" si="2"/>
        <v>219405</v>
      </c>
      <c r="J33" s="11">
        <f>H33/2</f>
        <v>62790.5</v>
      </c>
      <c r="K33" s="42">
        <v>5837</v>
      </c>
      <c r="L33" s="42">
        <v>5021</v>
      </c>
      <c r="M33" s="43">
        <v>379</v>
      </c>
    </row>
    <row r="34" spans="1:13" ht="18" hidden="1">
      <c r="A34" s="7">
        <v>40787</v>
      </c>
      <c r="B34" s="37">
        <f t="shared" si="7"/>
        <v>172493</v>
      </c>
      <c r="C34" s="33">
        <f t="shared" si="8"/>
        <v>517479</v>
      </c>
      <c r="D34" s="33">
        <v>0</v>
      </c>
      <c r="E34" s="33">
        <v>24705</v>
      </c>
      <c r="F34" s="33">
        <v>0</v>
      </c>
      <c r="G34" s="33">
        <f aca="true" t="shared" si="10" ref="G34:G74">D34+E34+F34</f>
        <v>24705</v>
      </c>
      <c r="H34" s="33">
        <f t="shared" si="9"/>
        <v>150286</v>
      </c>
      <c r="I34" s="33">
        <f t="shared" si="2"/>
        <v>367193</v>
      </c>
      <c r="J34" s="11">
        <f>H34/3</f>
        <v>50095.333333333336</v>
      </c>
      <c r="K34" s="42">
        <v>5964</v>
      </c>
      <c r="L34" s="42">
        <v>5390</v>
      </c>
      <c r="M34" s="43">
        <v>379</v>
      </c>
    </row>
    <row r="35" spans="1:13" ht="18" hidden="1">
      <c r="A35" s="7">
        <v>40817</v>
      </c>
      <c r="B35" s="37">
        <f t="shared" si="7"/>
        <v>172493</v>
      </c>
      <c r="C35" s="33">
        <f t="shared" si="8"/>
        <v>689972</v>
      </c>
      <c r="D35" s="33">
        <v>0</v>
      </c>
      <c r="E35" s="33">
        <f>24178-F35</f>
        <v>23755</v>
      </c>
      <c r="F35" s="33">
        <v>423</v>
      </c>
      <c r="G35" s="33">
        <f t="shared" si="10"/>
        <v>24178</v>
      </c>
      <c r="H35" s="33">
        <f t="shared" si="9"/>
        <v>174464</v>
      </c>
      <c r="I35" s="33">
        <f t="shared" si="2"/>
        <v>515508</v>
      </c>
      <c r="J35" s="11">
        <f>H35/4</f>
        <v>43616</v>
      </c>
      <c r="K35" s="42">
        <v>5938</v>
      </c>
      <c r="L35" s="42">
        <v>5835</v>
      </c>
      <c r="M35" s="43">
        <v>377</v>
      </c>
    </row>
    <row r="36" spans="1:13" ht="18" hidden="1">
      <c r="A36" s="7">
        <v>40848</v>
      </c>
      <c r="B36" s="37">
        <f t="shared" si="7"/>
        <v>172493</v>
      </c>
      <c r="C36" s="33">
        <f t="shared" si="8"/>
        <v>862465</v>
      </c>
      <c r="D36" s="33">
        <v>40</v>
      </c>
      <c r="E36" s="33">
        <v>25542</v>
      </c>
      <c r="F36" s="33">
        <v>0</v>
      </c>
      <c r="G36" s="33">
        <f t="shared" si="10"/>
        <v>25582</v>
      </c>
      <c r="H36" s="33">
        <f t="shared" si="9"/>
        <v>200046</v>
      </c>
      <c r="I36" s="33">
        <f t="shared" si="2"/>
        <v>662419</v>
      </c>
      <c r="J36" s="11">
        <f>H36/5</f>
        <v>40009.2</v>
      </c>
      <c r="K36" s="42">
        <v>5913</v>
      </c>
      <c r="L36" s="42">
        <v>5934</v>
      </c>
      <c r="M36" s="43">
        <v>408</v>
      </c>
    </row>
    <row r="37" spans="1:13" ht="18" hidden="1">
      <c r="A37" s="7">
        <v>40878</v>
      </c>
      <c r="B37" s="37">
        <f t="shared" si="7"/>
        <v>172493</v>
      </c>
      <c r="C37" s="33">
        <f t="shared" si="8"/>
        <v>1034958</v>
      </c>
      <c r="D37" s="33">
        <v>0</v>
      </c>
      <c r="E37" s="33">
        <v>33134</v>
      </c>
      <c r="F37" s="33">
        <v>0</v>
      </c>
      <c r="G37" s="33">
        <f t="shared" si="10"/>
        <v>33134</v>
      </c>
      <c r="H37" s="33">
        <f t="shared" si="9"/>
        <v>233180</v>
      </c>
      <c r="I37" s="33">
        <f t="shared" si="2"/>
        <v>801778</v>
      </c>
      <c r="J37" s="11">
        <f>H37/6</f>
        <v>38863.333333333336</v>
      </c>
      <c r="K37" s="42">
        <v>5811</v>
      </c>
      <c r="L37" s="42">
        <v>6067</v>
      </c>
      <c r="M37" s="43">
        <v>408</v>
      </c>
    </row>
    <row r="38" spans="1:13" ht="18" hidden="1">
      <c r="A38" s="7">
        <v>40909</v>
      </c>
      <c r="B38" s="37">
        <f t="shared" si="7"/>
        <v>172493</v>
      </c>
      <c r="C38" s="33">
        <f t="shared" si="8"/>
        <v>1207451</v>
      </c>
      <c r="D38" s="33">
        <v>0</v>
      </c>
      <c r="E38" s="33">
        <v>36177</v>
      </c>
      <c r="F38" s="33">
        <v>0</v>
      </c>
      <c r="G38" s="33">
        <f t="shared" si="10"/>
        <v>36177</v>
      </c>
      <c r="H38" s="33">
        <f t="shared" si="9"/>
        <v>269357</v>
      </c>
      <c r="I38" s="33">
        <f t="shared" si="2"/>
        <v>938094</v>
      </c>
      <c r="J38" s="11">
        <f>H38/7</f>
        <v>38479.57142857143</v>
      </c>
      <c r="K38" s="42">
        <v>6694</v>
      </c>
      <c r="L38" s="42">
        <v>6092</v>
      </c>
      <c r="M38" s="43">
        <v>382</v>
      </c>
    </row>
    <row r="39" spans="1:13" ht="18" hidden="1">
      <c r="A39" s="7">
        <v>40940</v>
      </c>
      <c r="B39" s="37">
        <f t="shared" si="7"/>
        <v>172493</v>
      </c>
      <c r="C39" s="33">
        <f t="shared" si="8"/>
        <v>1379944</v>
      </c>
      <c r="D39" s="33">
        <v>0</v>
      </c>
      <c r="E39" s="33">
        <v>46072</v>
      </c>
      <c r="F39" s="33">
        <v>0</v>
      </c>
      <c r="G39" s="33">
        <f t="shared" si="10"/>
        <v>46072</v>
      </c>
      <c r="H39" s="33">
        <f t="shared" si="9"/>
        <v>315429</v>
      </c>
      <c r="I39" s="33">
        <f t="shared" si="2"/>
        <v>1064515</v>
      </c>
      <c r="J39" s="11">
        <f>H39/8</f>
        <v>39428.625</v>
      </c>
      <c r="K39" s="42">
        <v>6467</v>
      </c>
      <c r="L39" s="42">
        <v>6006</v>
      </c>
      <c r="M39" s="43">
        <v>379</v>
      </c>
    </row>
    <row r="40" spans="1:13" ht="18" hidden="1">
      <c r="A40" s="7">
        <v>40969</v>
      </c>
      <c r="B40" s="37">
        <f t="shared" si="7"/>
        <v>172493</v>
      </c>
      <c r="C40" s="33">
        <f t="shared" si="8"/>
        <v>1552437</v>
      </c>
      <c r="D40" s="33">
        <v>0</v>
      </c>
      <c r="E40" s="33">
        <v>38286</v>
      </c>
      <c r="F40" s="33">
        <v>0</v>
      </c>
      <c r="G40" s="33">
        <f t="shared" si="10"/>
        <v>38286</v>
      </c>
      <c r="H40" s="33">
        <f t="shared" si="9"/>
        <v>353715</v>
      </c>
      <c r="I40" s="33">
        <f aca="true" t="shared" si="11" ref="I40:I59">C40-H40</f>
        <v>1198722</v>
      </c>
      <c r="J40" s="11">
        <f>H40/9</f>
        <v>39301.666666666664</v>
      </c>
      <c r="K40" s="42">
        <v>6405</v>
      </c>
      <c r="L40" s="42">
        <v>5734</v>
      </c>
      <c r="M40" s="43">
        <v>377</v>
      </c>
    </row>
    <row r="41" spans="1:13" ht="18" hidden="1">
      <c r="A41" s="7">
        <v>41000</v>
      </c>
      <c r="B41" s="37">
        <f t="shared" si="7"/>
        <v>172493</v>
      </c>
      <c r="C41" s="33">
        <f t="shared" si="8"/>
        <v>1724930</v>
      </c>
      <c r="D41" s="33">
        <v>20</v>
      </c>
      <c r="E41" s="33">
        <v>39772</v>
      </c>
      <c r="F41" s="33">
        <v>0</v>
      </c>
      <c r="G41" s="33">
        <f t="shared" si="10"/>
        <v>39792</v>
      </c>
      <c r="H41" s="33">
        <f t="shared" si="9"/>
        <v>393507</v>
      </c>
      <c r="I41" s="33">
        <f t="shared" si="11"/>
        <v>1331423</v>
      </c>
      <c r="J41" s="11">
        <f>H41/10</f>
        <v>39350.7</v>
      </c>
      <c r="K41" s="42">
        <v>6717</v>
      </c>
      <c r="L41" s="42">
        <v>5632</v>
      </c>
      <c r="M41" s="43">
        <v>342</v>
      </c>
    </row>
    <row r="42" spans="1:13" ht="18" hidden="1">
      <c r="A42" s="7">
        <v>41030</v>
      </c>
      <c r="B42" s="37">
        <f t="shared" si="7"/>
        <v>172493</v>
      </c>
      <c r="C42" s="33">
        <f t="shared" si="8"/>
        <v>1897423</v>
      </c>
      <c r="D42" s="33">
        <v>40</v>
      </c>
      <c r="E42" s="33">
        <v>54616</v>
      </c>
      <c r="F42" s="33">
        <v>0</v>
      </c>
      <c r="G42" s="33">
        <f t="shared" si="10"/>
        <v>54656</v>
      </c>
      <c r="H42" s="33">
        <f t="shared" si="9"/>
        <v>448163</v>
      </c>
      <c r="I42" s="33">
        <f t="shared" si="11"/>
        <v>1449260</v>
      </c>
      <c r="J42" s="11">
        <f>H42/11</f>
        <v>40742.09090909091</v>
      </c>
      <c r="K42" s="42">
        <v>6053</v>
      </c>
      <c r="L42" s="42">
        <v>5604</v>
      </c>
      <c r="M42" s="43">
        <v>0</v>
      </c>
    </row>
    <row r="43" spans="1:13" ht="18.75" hidden="1" thickBot="1">
      <c r="A43" s="7">
        <v>41061</v>
      </c>
      <c r="B43" s="39">
        <f t="shared" si="7"/>
        <v>172493</v>
      </c>
      <c r="C43" s="34">
        <f t="shared" si="8"/>
        <v>2069916</v>
      </c>
      <c r="D43" s="34">
        <v>95</v>
      </c>
      <c r="E43" s="34">
        <v>74099</v>
      </c>
      <c r="F43" s="34">
        <v>0</v>
      </c>
      <c r="G43" s="34">
        <f t="shared" si="10"/>
        <v>74194</v>
      </c>
      <c r="H43" s="34">
        <f t="shared" si="9"/>
        <v>522357</v>
      </c>
      <c r="I43" s="34">
        <f t="shared" si="11"/>
        <v>1547559</v>
      </c>
      <c r="J43" s="12">
        <f>H43/12</f>
        <v>43529.75</v>
      </c>
      <c r="K43" s="40">
        <v>6172</v>
      </c>
      <c r="L43" s="40">
        <v>5646</v>
      </c>
      <c r="M43" s="41">
        <v>0</v>
      </c>
    </row>
    <row r="44" spans="1:13" ht="18" hidden="1">
      <c r="A44" s="7">
        <v>41091</v>
      </c>
      <c r="B44" s="37">
        <f aca="true" t="shared" si="12" ref="B44:B55">$B$86/12</f>
        <v>326665.9166666667</v>
      </c>
      <c r="C44" s="11">
        <f>B44</f>
        <v>326665.9166666667</v>
      </c>
      <c r="D44" s="33">
        <v>0</v>
      </c>
      <c r="E44" s="33">
        <f>78790-F44</f>
        <v>79213</v>
      </c>
      <c r="F44" s="33">
        <v>-423</v>
      </c>
      <c r="G44" s="33">
        <f t="shared" si="10"/>
        <v>78790</v>
      </c>
      <c r="H44" s="33">
        <f>G44</f>
        <v>78790</v>
      </c>
      <c r="I44" s="33">
        <f t="shared" si="11"/>
        <v>247875.9166666667</v>
      </c>
      <c r="J44" s="33">
        <f>H44/1</f>
        <v>78790</v>
      </c>
      <c r="K44" s="42">
        <v>6040</v>
      </c>
      <c r="L44" s="42">
        <v>5095</v>
      </c>
      <c r="M44" s="43"/>
    </row>
    <row r="45" spans="1:13" ht="18" hidden="1">
      <c r="A45" s="7">
        <v>41122</v>
      </c>
      <c r="B45" s="37">
        <f t="shared" si="12"/>
        <v>326665.9166666667</v>
      </c>
      <c r="C45" s="11">
        <f aca="true" t="shared" si="13" ref="C45:C55">C44+B45</f>
        <v>653331.8333333334</v>
      </c>
      <c r="D45" s="33">
        <v>0</v>
      </c>
      <c r="E45" s="33">
        <v>102196</v>
      </c>
      <c r="F45" s="33">
        <v>0</v>
      </c>
      <c r="G45" s="33">
        <f t="shared" si="10"/>
        <v>102196</v>
      </c>
      <c r="H45" s="33">
        <f aca="true" t="shared" si="14" ref="H45:H55">H44+G45</f>
        <v>180986</v>
      </c>
      <c r="I45" s="33">
        <f t="shared" si="11"/>
        <v>472345.8333333334</v>
      </c>
      <c r="J45" s="33">
        <f>H45/2</f>
        <v>90493</v>
      </c>
      <c r="K45" s="42">
        <v>6073</v>
      </c>
      <c r="L45" s="42">
        <v>4967</v>
      </c>
      <c r="M45" s="43"/>
    </row>
    <row r="46" spans="1:13" ht="18" hidden="1">
      <c r="A46" s="7">
        <v>41153</v>
      </c>
      <c r="B46" s="37">
        <f t="shared" si="12"/>
        <v>326665.9166666667</v>
      </c>
      <c r="C46" s="11">
        <f t="shared" si="13"/>
        <v>979997.75</v>
      </c>
      <c r="D46" s="33">
        <v>25</v>
      </c>
      <c r="E46" s="33">
        <v>99211</v>
      </c>
      <c r="F46" s="33">
        <v>0</v>
      </c>
      <c r="G46" s="33">
        <f t="shared" si="10"/>
        <v>99236</v>
      </c>
      <c r="H46" s="33">
        <f t="shared" si="14"/>
        <v>280222</v>
      </c>
      <c r="I46" s="33">
        <f t="shared" si="11"/>
        <v>699775.75</v>
      </c>
      <c r="J46" s="33">
        <f>H46/3</f>
        <v>93407.33333333333</v>
      </c>
      <c r="K46" s="42">
        <v>6038</v>
      </c>
      <c r="L46" s="42">
        <v>5168</v>
      </c>
      <c r="M46" s="43"/>
    </row>
    <row r="47" spans="1:13" ht="18" hidden="1">
      <c r="A47" s="7">
        <v>41183</v>
      </c>
      <c r="B47" s="37">
        <f t="shared" si="12"/>
        <v>326665.9166666667</v>
      </c>
      <c r="C47" s="11">
        <f t="shared" si="13"/>
        <v>1306663.6666666667</v>
      </c>
      <c r="D47" s="33">
        <v>515</v>
      </c>
      <c r="E47" s="33">
        <v>114419</v>
      </c>
      <c r="F47" s="33">
        <v>0</v>
      </c>
      <c r="G47" s="33">
        <f t="shared" si="10"/>
        <v>114934</v>
      </c>
      <c r="H47" s="33">
        <f t="shared" si="14"/>
        <v>395156</v>
      </c>
      <c r="I47" s="33">
        <f t="shared" si="11"/>
        <v>911507.6666666667</v>
      </c>
      <c r="J47" s="33">
        <f>H47/4</f>
        <v>98789</v>
      </c>
      <c r="K47" s="42">
        <v>6037</v>
      </c>
      <c r="L47" s="42">
        <v>5179</v>
      </c>
      <c r="M47" s="43"/>
    </row>
    <row r="48" spans="1:13" ht="18" hidden="1">
      <c r="A48" s="7">
        <v>41214</v>
      </c>
      <c r="B48" s="37">
        <f t="shared" si="12"/>
        <v>326665.9166666667</v>
      </c>
      <c r="C48" s="11">
        <f t="shared" si="13"/>
        <v>1633329.5833333335</v>
      </c>
      <c r="D48" s="33">
        <v>119</v>
      </c>
      <c r="E48" s="33">
        <v>136298</v>
      </c>
      <c r="F48" s="33">
        <v>0</v>
      </c>
      <c r="G48" s="33">
        <f t="shared" si="10"/>
        <v>136417</v>
      </c>
      <c r="H48" s="33">
        <f t="shared" si="14"/>
        <v>531573</v>
      </c>
      <c r="I48" s="33">
        <f t="shared" si="11"/>
        <v>1101756.5833333335</v>
      </c>
      <c r="J48" s="33">
        <f>H48/5</f>
        <v>106314.6</v>
      </c>
      <c r="K48" s="42">
        <v>6001</v>
      </c>
      <c r="L48" s="42">
        <v>5119</v>
      </c>
      <c r="M48" s="43"/>
    </row>
    <row r="49" spans="1:13" ht="18" hidden="1">
      <c r="A49" s="7">
        <v>41244</v>
      </c>
      <c r="B49" s="37">
        <f t="shared" si="12"/>
        <v>326665.9166666667</v>
      </c>
      <c r="C49" s="11">
        <f t="shared" si="13"/>
        <v>1959995.5000000002</v>
      </c>
      <c r="D49" s="33">
        <v>0</v>
      </c>
      <c r="E49" s="33">
        <v>119577</v>
      </c>
      <c r="F49" s="33">
        <v>0</v>
      </c>
      <c r="G49" s="33">
        <f t="shared" si="10"/>
        <v>119577</v>
      </c>
      <c r="H49" s="33">
        <f t="shared" si="14"/>
        <v>651150</v>
      </c>
      <c r="I49" s="33">
        <f t="shared" si="11"/>
        <v>1308845.5000000002</v>
      </c>
      <c r="J49" s="33">
        <f>H49/6</f>
        <v>108525</v>
      </c>
      <c r="K49" s="42"/>
      <c r="L49" s="42"/>
      <c r="M49" s="43"/>
    </row>
    <row r="50" spans="1:13" ht="18" hidden="1">
      <c r="A50" s="7">
        <v>41275</v>
      </c>
      <c r="B50" s="37">
        <f t="shared" si="12"/>
        <v>326665.9166666667</v>
      </c>
      <c r="C50" s="11">
        <f t="shared" si="13"/>
        <v>2286661.416666667</v>
      </c>
      <c r="D50" s="33">
        <v>0</v>
      </c>
      <c r="E50" s="33">
        <v>120497</v>
      </c>
      <c r="F50" s="33">
        <v>0</v>
      </c>
      <c r="G50" s="33">
        <f t="shared" si="10"/>
        <v>120497</v>
      </c>
      <c r="H50" s="33">
        <f t="shared" si="14"/>
        <v>771647</v>
      </c>
      <c r="I50" s="33">
        <f t="shared" si="11"/>
        <v>1515014.416666667</v>
      </c>
      <c r="J50" s="33">
        <f>H50/7</f>
        <v>110235.28571428571</v>
      </c>
      <c r="K50" s="42"/>
      <c r="L50" s="42"/>
      <c r="M50" s="43"/>
    </row>
    <row r="51" spans="1:13" ht="18" hidden="1">
      <c r="A51" s="7">
        <v>41306</v>
      </c>
      <c r="B51" s="37">
        <f t="shared" si="12"/>
        <v>326665.9166666667</v>
      </c>
      <c r="C51" s="11">
        <f t="shared" si="13"/>
        <v>2613327.3333333335</v>
      </c>
      <c r="D51" s="33">
        <v>75</v>
      </c>
      <c r="E51" s="33">
        <v>126413</v>
      </c>
      <c r="F51" s="33">
        <v>0</v>
      </c>
      <c r="G51" s="33">
        <f t="shared" si="10"/>
        <v>126488</v>
      </c>
      <c r="H51" s="33">
        <f t="shared" si="14"/>
        <v>898135</v>
      </c>
      <c r="I51" s="33">
        <f t="shared" si="11"/>
        <v>1715192.3333333335</v>
      </c>
      <c r="J51" s="33">
        <f>H51/8</f>
        <v>112266.875</v>
      </c>
      <c r="K51" s="42"/>
      <c r="L51" s="42"/>
      <c r="M51" s="43"/>
    </row>
    <row r="52" spans="1:13" ht="18" hidden="1">
      <c r="A52" s="7">
        <v>41334</v>
      </c>
      <c r="B52" s="37">
        <f t="shared" si="12"/>
        <v>326665.9166666667</v>
      </c>
      <c r="C52" s="11">
        <f t="shared" si="13"/>
        <v>2939993.25</v>
      </c>
      <c r="D52" s="33">
        <v>0</v>
      </c>
      <c r="E52" s="33">
        <v>152139</v>
      </c>
      <c r="F52" s="33">
        <v>0</v>
      </c>
      <c r="G52" s="33">
        <f t="shared" si="10"/>
        <v>152139</v>
      </c>
      <c r="H52" s="33">
        <f t="shared" si="14"/>
        <v>1050274</v>
      </c>
      <c r="I52" s="33">
        <f t="shared" si="11"/>
        <v>1889719.25</v>
      </c>
      <c r="J52" s="33">
        <f>H52/9</f>
        <v>116697.11111111111</v>
      </c>
      <c r="K52" s="42"/>
      <c r="L52" s="42"/>
      <c r="M52" s="43"/>
    </row>
    <row r="53" spans="1:13" ht="18" hidden="1">
      <c r="A53" s="7">
        <v>41365</v>
      </c>
      <c r="B53" s="37">
        <f t="shared" si="12"/>
        <v>326665.9166666667</v>
      </c>
      <c r="C53" s="11">
        <f t="shared" si="13"/>
        <v>3266659.1666666665</v>
      </c>
      <c r="D53" s="33">
        <v>85</v>
      </c>
      <c r="E53" s="33">
        <v>158238</v>
      </c>
      <c r="F53" s="33">
        <v>0</v>
      </c>
      <c r="G53" s="33">
        <f t="shared" si="10"/>
        <v>158323</v>
      </c>
      <c r="H53" s="33">
        <f t="shared" si="14"/>
        <v>1208597</v>
      </c>
      <c r="I53" s="33">
        <f t="shared" si="11"/>
        <v>2058062.1666666665</v>
      </c>
      <c r="J53" s="33">
        <f>H53/10</f>
        <v>120859.7</v>
      </c>
      <c r="K53" s="42"/>
      <c r="L53" s="42"/>
      <c r="M53" s="43"/>
    </row>
    <row r="54" spans="1:13" ht="18" hidden="1">
      <c r="A54" s="7">
        <v>41395</v>
      </c>
      <c r="B54" s="37">
        <f t="shared" si="12"/>
        <v>326665.9166666667</v>
      </c>
      <c r="C54" s="11">
        <f t="shared" si="13"/>
        <v>3593325.083333333</v>
      </c>
      <c r="D54" s="33">
        <v>50</v>
      </c>
      <c r="E54" s="33">
        <v>193638</v>
      </c>
      <c r="F54" s="33">
        <v>0</v>
      </c>
      <c r="G54" s="33">
        <f t="shared" si="10"/>
        <v>193688</v>
      </c>
      <c r="H54" s="33">
        <f t="shared" si="14"/>
        <v>1402285</v>
      </c>
      <c r="I54" s="33">
        <f t="shared" si="11"/>
        <v>2191040.083333333</v>
      </c>
      <c r="J54" s="33">
        <f>H54/11</f>
        <v>127480.45454545454</v>
      </c>
      <c r="K54" s="42"/>
      <c r="L54" s="42"/>
      <c r="M54" s="43"/>
    </row>
    <row r="55" spans="1:13" ht="18.75" hidden="1" thickBot="1">
      <c r="A55" s="7">
        <v>41426</v>
      </c>
      <c r="B55" s="39">
        <f t="shared" si="12"/>
        <v>326665.9166666667</v>
      </c>
      <c r="C55" s="12">
        <f t="shared" si="13"/>
        <v>3919990.9999999995</v>
      </c>
      <c r="D55" s="34">
        <v>0</v>
      </c>
      <c r="E55" s="12">
        <v>232239</v>
      </c>
      <c r="F55" s="34">
        <v>0</v>
      </c>
      <c r="G55" s="34">
        <f t="shared" si="10"/>
        <v>232239</v>
      </c>
      <c r="H55" s="34">
        <f t="shared" si="14"/>
        <v>1634524</v>
      </c>
      <c r="I55" s="34">
        <f t="shared" si="11"/>
        <v>2285466.9999999995</v>
      </c>
      <c r="J55" s="34">
        <f>H55/12</f>
        <v>136210.33333333334</v>
      </c>
      <c r="K55" s="40"/>
      <c r="L55" s="40"/>
      <c r="M55" s="41"/>
    </row>
    <row r="56" spans="1:13" ht="18" hidden="1">
      <c r="A56" s="7">
        <v>41456</v>
      </c>
      <c r="B56" s="15">
        <f>$B$92/24</f>
        <v>279847.4583333333</v>
      </c>
      <c r="C56" s="11">
        <f>B56</f>
        <v>279847.4583333333</v>
      </c>
      <c r="D56" s="33">
        <v>0</v>
      </c>
      <c r="E56" s="11">
        <v>242064</v>
      </c>
      <c r="F56" s="33">
        <v>0</v>
      </c>
      <c r="G56" s="33">
        <f t="shared" si="10"/>
        <v>242064</v>
      </c>
      <c r="H56" s="33">
        <f>G56</f>
        <v>242064</v>
      </c>
      <c r="I56" s="33">
        <f t="shared" si="11"/>
        <v>37783.458333333314</v>
      </c>
      <c r="J56" s="33">
        <f>H56</f>
        <v>242064</v>
      </c>
      <c r="K56" s="42">
        <v>5254</v>
      </c>
      <c r="L56" s="42">
        <v>4565</v>
      </c>
      <c r="M56" s="43"/>
    </row>
    <row r="57" spans="1:13" ht="18" hidden="1">
      <c r="A57" s="7">
        <v>41487</v>
      </c>
      <c r="B57" s="15">
        <f aca="true" t="shared" si="15" ref="B57:B79">$B$92/24</f>
        <v>279847.4583333333</v>
      </c>
      <c r="C57" s="11">
        <f aca="true" t="shared" si="16" ref="C57:C79">C56+B57</f>
        <v>559694.9166666666</v>
      </c>
      <c r="D57" s="33">
        <v>0</v>
      </c>
      <c r="E57" s="11">
        <v>290056</v>
      </c>
      <c r="F57" s="33">
        <v>0</v>
      </c>
      <c r="G57" s="33">
        <f t="shared" si="10"/>
        <v>290056</v>
      </c>
      <c r="H57" s="33">
        <f aca="true" t="shared" si="17" ref="H57:H62">G57+H56</f>
        <v>532120</v>
      </c>
      <c r="I57" s="33">
        <f t="shared" si="11"/>
        <v>27574.916666666628</v>
      </c>
      <c r="J57" s="33">
        <f>H57/2</f>
        <v>266060</v>
      </c>
      <c r="K57" s="42">
        <v>5171</v>
      </c>
      <c r="L57" s="42">
        <v>4711</v>
      </c>
      <c r="M57" s="43"/>
    </row>
    <row r="58" spans="1:13" ht="18" hidden="1">
      <c r="A58" s="7">
        <v>41518</v>
      </c>
      <c r="B58" s="15">
        <f t="shared" si="15"/>
        <v>279847.4583333333</v>
      </c>
      <c r="C58" s="11">
        <f t="shared" si="16"/>
        <v>839542.375</v>
      </c>
      <c r="D58" s="33">
        <v>50</v>
      </c>
      <c r="E58" s="11">
        <v>222327</v>
      </c>
      <c r="F58" s="33">
        <v>0</v>
      </c>
      <c r="G58" s="33">
        <f t="shared" si="10"/>
        <v>222377</v>
      </c>
      <c r="H58" s="33">
        <f t="shared" si="17"/>
        <v>754497</v>
      </c>
      <c r="I58" s="33">
        <f t="shared" si="11"/>
        <v>85045.375</v>
      </c>
      <c r="J58" s="33">
        <f>H58/3</f>
        <v>251499</v>
      </c>
      <c r="K58" s="42">
        <v>5144</v>
      </c>
      <c r="L58" s="42">
        <v>6301</v>
      </c>
      <c r="M58" s="43"/>
    </row>
    <row r="59" spans="1:13" ht="18" hidden="1">
      <c r="A59" s="7">
        <v>41548</v>
      </c>
      <c r="B59" s="15">
        <f t="shared" si="15"/>
        <v>279847.4583333333</v>
      </c>
      <c r="C59" s="11">
        <f t="shared" si="16"/>
        <v>1119389.8333333333</v>
      </c>
      <c r="D59" s="33">
        <v>0</v>
      </c>
      <c r="E59" s="11">
        <v>239638.95</v>
      </c>
      <c r="F59" s="33">
        <v>0</v>
      </c>
      <c r="G59" s="33">
        <f t="shared" si="10"/>
        <v>239638.95</v>
      </c>
      <c r="H59" s="33">
        <f t="shared" si="17"/>
        <v>994135.95</v>
      </c>
      <c r="I59" s="33">
        <f t="shared" si="11"/>
        <v>125253.8833333333</v>
      </c>
      <c r="J59" s="33">
        <f>H59/4</f>
        <v>248533.9875</v>
      </c>
      <c r="K59" s="42">
        <v>5027</v>
      </c>
      <c r="L59" s="42">
        <v>5185</v>
      </c>
      <c r="M59" s="43"/>
    </row>
    <row r="60" spans="1:13" ht="18" hidden="1">
      <c r="A60" s="7">
        <v>41579</v>
      </c>
      <c r="B60" s="15">
        <f t="shared" si="15"/>
        <v>279847.4583333333</v>
      </c>
      <c r="C60" s="11">
        <f t="shared" si="16"/>
        <v>1399237.2916666665</v>
      </c>
      <c r="D60" s="33">
        <v>0</v>
      </c>
      <c r="E60" s="11">
        <v>218427.61</v>
      </c>
      <c r="F60" s="33">
        <v>0</v>
      </c>
      <c r="G60" s="33">
        <f t="shared" si="10"/>
        <v>218427.61</v>
      </c>
      <c r="H60" s="33">
        <f t="shared" si="17"/>
        <v>1212563.56</v>
      </c>
      <c r="I60" s="33">
        <f aca="true" t="shared" si="18" ref="I60:I65">C60-H60</f>
        <v>186673.73166666646</v>
      </c>
      <c r="J60" s="33">
        <f>H60/5</f>
        <v>242512.712</v>
      </c>
      <c r="K60" s="42">
        <v>4937</v>
      </c>
      <c r="L60" s="42">
        <v>4717</v>
      </c>
      <c r="M60" s="43"/>
    </row>
    <row r="61" spans="1:13" ht="18" hidden="1">
      <c r="A61" s="7">
        <v>41609</v>
      </c>
      <c r="B61" s="15">
        <f t="shared" si="15"/>
        <v>279847.4583333333</v>
      </c>
      <c r="C61" s="11">
        <f t="shared" si="16"/>
        <v>1679084.7499999998</v>
      </c>
      <c r="D61" s="33">
        <v>0</v>
      </c>
      <c r="E61" s="11">
        <v>257407.28</v>
      </c>
      <c r="F61" s="33">
        <v>0</v>
      </c>
      <c r="G61" s="33">
        <f t="shared" si="10"/>
        <v>257407.28</v>
      </c>
      <c r="H61" s="33">
        <f t="shared" si="17"/>
        <v>1469970.84</v>
      </c>
      <c r="I61" s="33">
        <f t="shared" si="18"/>
        <v>209113.90999999968</v>
      </c>
      <c r="J61" s="33">
        <f>H61/6</f>
        <v>244995.14</v>
      </c>
      <c r="K61" s="42">
        <v>4859</v>
      </c>
      <c r="L61" s="42">
        <v>4773</v>
      </c>
      <c r="M61" s="43"/>
    </row>
    <row r="62" spans="1:13" ht="18" hidden="1">
      <c r="A62" s="7">
        <v>41640</v>
      </c>
      <c r="B62" s="15">
        <f t="shared" si="15"/>
        <v>279847.4583333333</v>
      </c>
      <c r="C62" s="11">
        <f t="shared" si="16"/>
        <v>1958932.208333333</v>
      </c>
      <c r="D62" s="33">
        <v>0</v>
      </c>
      <c r="E62" s="11">
        <v>319335.81</v>
      </c>
      <c r="F62" s="33">
        <v>0</v>
      </c>
      <c r="G62" s="33">
        <f t="shared" si="10"/>
        <v>319335.81</v>
      </c>
      <c r="H62" s="33">
        <f t="shared" si="17"/>
        <v>1789306.6500000001</v>
      </c>
      <c r="I62" s="33">
        <f t="shared" si="18"/>
        <v>169625.55833333288</v>
      </c>
      <c r="J62" s="33">
        <f>H62/7</f>
        <v>255615.23571428572</v>
      </c>
      <c r="K62" s="42">
        <v>4846</v>
      </c>
      <c r="L62" s="42">
        <v>4868</v>
      </c>
      <c r="M62" s="43"/>
    </row>
    <row r="63" spans="1:13" ht="18" hidden="1">
      <c r="A63" s="7">
        <v>41671</v>
      </c>
      <c r="B63" s="15">
        <f t="shared" si="15"/>
        <v>279847.4583333333</v>
      </c>
      <c r="C63" s="11">
        <f t="shared" si="16"/>
        <v>2238779.6666666665</v>
      </c>
      <c r="D63" s="33">
        <v>0</v>
      </c>
      <c r="E63" s="11">
        <v>221951.03</v>
      </c>
      <c r="F63" s="33">
        <v>0</v>
      </c>
      <c r="G63" s="33">
        <f t="shared" si="10"/>
        <v>221951.03</v>
      </c>
      <c r="H63" s="33">
        <f aca="true" t="shared" si="19" ref="H63:H68">G63+H62</f>
        <v>2011257.6800000002</v>
      </c>
      <c r="I63" s="33">
        <f t="shared" si="18"/>
        <v>227521.98666666634</v>
      </c>
      <c r="J63" s="33">
        <f>H63/8</f>
        <v>251407.21000000002</v>
      </c>
      <c r="K63" s="42">
        <v>4769</v>
      </c>
      <c r="L63" s="42">
        <v>4743</v>
      </c>
      <c r="M63" s="43"/>
    </row>
    <row r="64" spans="1:13" ht="18" hidden="1">
      <c r="A64" s="7">
        <v>41699</v>
      </c>
      <c r="B64" s="15">
        <f t="shared" si="15"/>
        <v>279847.4583333333</v>
      </c>
      <c r="C64" s="11">
        <f t="shared" si="16"/>
        <v>2518627.125</v>
      </c>
      <c r="D64" s="33">
        <v>0</v>
      </c>
      <c r="E64" s="11">
        <v>257471.27</v>
      </c>
      <c r="F64" s="33">
        <v>0</v>
      </c>
      <c r="G64" s="33">
        <f t="shared" si="10"/>
        <v>257471.27</v>
      </c>
      <c r="H64" s="33">
        <f t="shared" si="19"/>
        <v>2268728.95</v>
      </c>
      <c r="I64" s="33">
        <f t="shared" si="18"/>
        <v>249898.1749999998</v>
      </c>
      <c r="J64" s="33">
        <f>H64/9</f>
        <v>252080.99444444446</v>
      </c>
      <c r="K64" s="42">
        <v>4651</v>
      </c>
      <c r="L64" s="42">
        <v>5079</v>
      </c>
      <c r="M64" s="43"/>
    </row>
    <row r="65" spans="1:13" ht="18" hidden="1">
      <c r="A65" s="7">
        <v>41730</v>
      </c>
      <c r="B65" s="15">
        <f t="shared" si="15"/>
        <v>279847.4583333333</v>
      </c>
      <c r="C65" s="11">
        <f t="shared" si="16"/>
        <v>2798474.5833333335</v>
      </c>
      <c r="D65" s="33">
        <v>0</v>
      </c>
      <c r="E65" s="11">
        <v>246780.82</v>
      </c>
      <c r="F65" s="33">
        <v>0</v>
      </c>
      <c r="G65" s="33">
        <f t="shared" si="10"/>
        <v>246780.82</v>
      </c>
      <c r="H65" s="33">
        <f t="shared" si="19"/>
        <v>2515509.77</v>
      </c>
      <c r="I65" s="33">
        <f t="shared" si="18"/>
        <v>282964.81333333347</v>
      </c>
      <c r="J65" s="33">
        <f>H65/10</f>
        <v>251550.977</v>
      </c>
      <c r="K65" s="42">
        <v>4643</v>
      </c>
      <c r="L65" s="42">
        <v>4884</v>
      </c>
      <c r="M65" s="43"/>
    </row>
    <row r="66" spans="1:13" ht="18" hidden="1">
      <c r="A66" s="7">
        <v>41760</v>
      </c>
      <c r="B66" s="15">
        <f t="shared" si="15"/>
        <v>279847.4583333333</v>
      </c>
      <c r="C66" s="11">
        <f t="shared" si="16"/>
        <v>3078322.041666667</v>
      </c>
      <c r="D66" s="33">
        <v>0</v>
      </c>
      <c r="E66" s="11">
        <v>266936.95</v>
      </c>
      <c r="F66" s="33">
        <v>0</v>
      </c>
      <c r="G66" s="33">
        <f t="shared" si="10"/>
        <v>266936.95</v>
      </c>
      <c r="H66" s="33">
        <f t="shared" si="19"/>
        <v>2782446.72</v>
      </c>
      <c r="I66" s="33">
        <f aca="true" t="shared" si="20" ref="I66:I71">C66-H66</f>
        <v>295875.3216666668</v>
      </c>
      <c r="J66" s="33">
        <f>H66/11</f>
        <v>252949.70181818184</v>
      </c>
      <c r="K66" s="42">
        <v>4582</v>
      </c>
      <c r="L66" s="42">
        <v>5065</v>
      </c>
      <c r="M66" s="43"/>
    </row>
    <row r="67" spans="1:13" ht="18" hidden="1">
      <c r="A67" s="7">
        <v>41791</v>
      </c>
      <c r="B67" s="15">
        <f t="shared" si="15"/>
        <v>279847.4583333333</v>
      </c>
      <c r="C67" s="11">
        <f t="shared" si="16"/>
        <v>3358169.5000000005</v>
      </c>
      <c r="D67" s="33">
        <v>0</v>
      </c>
      <c r="E67" s="11">
        <v>266051</v>
      </c>
      <c r="F67" s="33">
        <v>0</v>
      </c>
      <c r="G67" s="33">
        <f t="shared" si="10"/>
        <v>266051</v>
      </c>
      <c r="H67" s="33">
        <f t="shared" si="19"/>
        <v>3048497.72</v>
      </c>
      <c r="I67" s="33">
        <f t="shared" si="20"/>
        <v>309671.78000000026</v>
      </c>
      <c r="J67" s="33">
        <f>H67/12</f>
        <v>254041.47666666668</v>
      </c>
      <c r="K67" s="42">
        <v>4527</v>
      </c>
      <c r="L67" s="42">
        <v>4987</v>
      </c>
      <c r="M67" s="43"/>
    </row>
    <row r="68" spans="1:13" ht="18">
      <c r="A68" s="7">
        <v>41821</v>
      </c>
      <c r="B68" s="15">
        <f t="shared" si="15"/>
        <v>279847.4583333333</v>
      </c>
      <c r="C68" s="11">
        <f t="shared" si="16"/>
        <v>3638016.958333334</v>
      </c>
      <c r="D68" s="33">
        <v>0</v>
      </c>
      <c r="E68" s="11">
        <v>318670</v>
      </c>
      <c r="F68" s="33">
        <v>0</v>
      </c>
      <c r="G68" s="33">
        <f t="shared" si="10"/>
        <v>318670</v>
      </c>
      <c r="H68" s="33">
        <f t="shared" si="19"/>
        <v>3367167.72</v>
      </c>
      <c r="I68" s="33">
        <f t="shared" si="20"/>
        <v>270849.23833333375</v>
      </c>
      <c r="J68" s="33">
        <f>H68/13</f>
        <v>259012.90153846156</v>
      </c>
      <c r="K68" s="42">
        <v>4273</v>
      </c>
      <c r="L68" s="42">
        <v>4969</v>
      </c>
      <c r="M68" s="43"/>
    </row>
    <row r="69" spans="1:13" ht="18">
      <c r="A69" s="7">
        <v>41852</v>
      </c>
      <c r="B69" s="15">
        <f t="shared" si="15"/>
        <v>279847.4583333333</v>
      </c>
      <c r="C69" s="11">
        <f t="shared" si="16"/>
        <v>3917864.4166666674</v>
      </c>
      <c r="D69" s="33">
        <v>0</v>
      </c>
      <c r="E69" s="11">
        <v>283881</v>
      </c>
      <c r="F69" s="33">
        <v>0</v>
      </c>
      <c r="G69" s="33">
        <f t="shared" si="10"/>
        <v>283881</v>
      </c>
      <c r="H69" s="33">
        <f aca="true" t="shared" si="21" ref="H69:H74">G69+H68</f>
        <v>3651048.72</v>
      </c>
      <c r="I69" s="33">
        <f t="shared" si="20"/>
        <v>266815.69666666724</v>
      </c>
      <c r="J69" s="33">
        <f>H69/14</f>
        <v>260789.1942857143</v>
      </c>
      <c r="K69" s="42">
        <v>4220</v>
      </c>
      <c r="L69" s="42">
        <v>5031</v>
      </c>
      <c r="M69" s="43"/>
    </row>
    <row r="70" spans="1:13" ht="18">
      <c r="A70" s="7">
        <v>41883</v>
      </c>
      <c r="B70" s="15">
        <f t="shared" si="15"/>
        <v>279847.4583333333</v>
      </c>
      <c r="C70" s="11">
        <f t="shared" si="16"/>
        <v>4197711.875000001</v>
      </c>
      <c r="D70" s="33">
        <v>0</v>
      </c>
      <c r="E70" s="11">
        <v>304543</v>
      </c>
      <c r="F70" s="33">
        <v>0</v>
      </c>
      <c r="G70" s="33">
        <f t="shared" si="10"/>
        <v>304543</v>
      </c>
      <c r="H70" s="33">
        <f t="shared" si="21"/>
        <v>3955591.72</v>
      </c>
      <c r="I70" s="33">
        <f t="shared" si="20"/>
        <v>242120.15500000073</v>
      </c>
      <c r="J70" s="33">
        <f>H70/15</f>
        <v>263706.11466666666</v>
      </c>
      <c r="K70" s="42">
        <v>4131</v>
      </c>
      <c r="L70" s="42">
        <v>5001</v>
      </c>
      <c r="M70" s="43"/>
    </row>
    <row r="71" spans="1:13" ht="18">
      <c r="A71" s="7">
        <v>41913</v>
      </c>
      <c r="B71" s="15">
        <f t="shared" si="15"/>
        <v>279847.4583333333</v>
      </c>
      <c r="C71" s="11">
        <f t="shared" si="16"/>
        <v>4477559.333333334</v>
      </c>
      <c r="D71" s="33">
        <v>0</v>
      </c>
      <c r="E71" s="11">
        <v>359691</v>
      </c>
      <c r="F71" s="33">
        <v>0</v>
      </c>
      <c r="G71" s="33">
        <f t="shared" si="10"/>
        <v>359691</v>
      </c>
      <c r="H71" s="33">
        <f t="shared" si="21"/>
        <v>4315282.720000001</v>
      </c>
      <c r="I71" s="33">
        <f t="shared" si="20"/>
        <v>162276.61333333328</v>
      </c>
      <c r="J71" s="33">
        <f>H71/16</f>
        <v>269705.17000000004</v>
      </c>
      <c r="K71" s="42">
        <v>4020</v>
      </c>
      <c r="L71" s="42">
        <v>4777</v>
      </c>
      <c r="M71" s="43"/>
    </row>
    <row r="72" spans="1:13" ht="18">
      <c r="A72" s="7">
        <v>41944</v>
      </c>
      <c r="B72" s="15">
        <f t="shared" si="15"/>
        <v>279847.4583333333</v>
      </c>
      <c r="C72" s="11">
        <f t="shared" si="16"/>
        <v>4757406.791666667</v>
      </c>
      <c r="D72" s="33">
        <v>0</v>
      </c>
      <c r="E72" s="11">
        <v>233156</v>
      </c>
      <c r="F72" s="33">
        <v>0</v>
      </c>
      <c r="G72" s="33">
        <f t="shared" si="10"/>
        <v>233156</v>
      </c>
      <c r="H72" s="33">
        <f t="shared" si="21"/>
        <v>4548438.720000001</v>
      </c>
      <c r="I72" s="33">
        <f>C72-H72</f>
        <v>208968.0716666663</v>
      </c>
      <c r="J72" s="33">
        <f>H72/17</f>
        <v>267555.21882352943</v>
      </c>
      <c r="K72" s="42">
        <v>3881</v>
      </c>
      <c r="L72" s="42">
        <v>4814</v>
      </c>
      <c r="M72" s="43"/>
    </row>
    <row r="73" spans="1:13" ht="18">
      <c r="A73" s="7">
        <v>41974</v>
      </c>
      <c r="B73" s="15">
        <f t="shared" si="15"/>
        <v>279847.4583333333</v>
      </c>
      <c r="C73" s="11">
        <f t="shared" si="16"/>
        <v>5037254.25</v>
      </c>
      <c r="D73" s="33">
        <v>25</v>
      </c>
      <c r="E73" s="11">
        <v>281683</v>
      </c>
      <c r="F73" s="33">
        <v>0</v>
      </c>
      <c r="G73" s="33">
        <f t="shared" si="10"/>
        <v>281708</v>
      </c>
      <c r="H73" s="33">
        <f t="shared" si="21"/>
        <v>4830146.720000001</v>
      </c>
      <c r="I73" s="33">
        <f>C73-H73</f>
        <v>207107.52999999933</v>
      </c>
      <c r="J73" s="33">
        <f>H73/18</f>
        <v>268341.4844444445</v>
      </c>
      <c r="K73" s="42">
        <v>3833</v>
      </c>
      <c r="L73" s="42">
        <v>4422</v>
      </c>
      <c r="M73" s="43"/>
    </row>
    <row r="74" spans="1:13" ht="18">
      <c r="A74" s="7">
        <v>42005</v>
      </c>
      <c r="B74" s="15">
        <f t="shared" si="15"/>
        <v>279847.4583333333</v>
      </c>
      <c r="C74" s="11">
        <f t="shared" si="16"/>
        <v>5317101.708333333</v>
      </c>
      <c r="D74" s="33">
        <v>50</v>
      </c>
      <c r="E74" s="11">
        <v>292607</v>
      </c>
      <c r="F74" s="33">
        <v>0</v>
      </c>
      <c r="G74" s="33">
        <f t="shared" si="10"/>
        <v>292657</v>
      </c>
      <c r="H74" s="33">
        <f t="shared" si="21"/>
        <v>5122803.720000001</v>
      </c>
      <c r="I74" s="33">
        <f>C74-H74</f>
        <v>194297.98833333235</v>
      </c>
      <c r="J74" s="33">
        <f>H74/19</f>
        <v>269621.24842105265</v>
      </c>
      <c r="K74" s="42">
        <v>3767</v>
      </c>
      <c r="L74" s="42">
        <v>4629</v>
      </c>
      <c r="M74" s="43"/>
    </row>
    <row r="75" spans="1:13" ht="18">
      <c r="A75" s="7">
        <v>42036</v>
      </c>
      <c r="B75" s="15">
        <f t="shared" si="15"/>
        <v>279847.4583333333</v>
      </c>
      <c r="C75" s="11">
        <f t="shared" si="16"/>
        <v>5596949.166666666</v>
      </c>
      <c r="D75" s="33"/>
      <c r="E75" s="11"/>
      <c r="F75" s="33"/>
      <c r="G75" s="33"/>
      <c r="H75" s="33"/>
      <c r="I75" s="33"/>
      <c r="J75" s="33"/>
      <c r="K75" s="42"/>
      <c r="L75" s="42"/>
      <c r="M75" s="43"/>
    </row>
    <row r="76" spans="1:13" ht="18">
      <c r="A76" s="7">
        <v>42064</v>
      </c>
      <c r="B76" s="15">
        <f t="shared" si="15"/>
        <v>279847.4583333333</v>
      </c>
      <c r="C76" s="11">
        <f t="shared" si="16"/>
        <v>5876796.624999999</v>
      </c>
      <c r="D76" s="33"/>
      <c r="E76" s="11"/>
      <c r="F76" s="33"/>
      <c r="G76" s="33"/>
      <c r="H76" s="33"/>
      <c r="I76" s="33"/>
      <c r="J76" s="33"/>
      <c r="K76" s="42"/>
      <c r="L76" s="42"/>
      <c r="M76" s="43"/>
    </row>
    <row r="77" spans="1:13" ht="18">
      <c r="A77" s="7">
        <v>42095</v>
      </c>
      <c r="B77" s="15">
        <f t="shared" si="15"/>
        <v>279847.4583333333</v>
      </c>
      <c r="C77" s="11">
        <f t="shared" si="16"/>
        <v>6156644.083333332</v>
      </c>
      <c r="D77" s="33"/>
      <c r="E77" s="11"/>
      <c r="F77" s="33"/>
      <c r="G77" s="33"/>
      <c r="H77" s="33"/>
      <c r="I77" s="33"/>
      <c r="J77" s="33"/>
      <c r="K77" s="42"/>
      <c r="L77" s="42"/>
      <c r="M77" s="43"/>
    </row>
    <row r="78" spans="1:13" ht="18">
      <c r="A78" s="7">
        <v>42125</v>
      </c>
      <c r="B78" s="15">
        <f t="shared" si="15"/>
        <v>279847.4583333333</v>
      </c>
      <c r="C78" s="11">
        <f t="shared" si="16"/>
        <v>6436491.541666665</v>
      </c>
      <c r="D78" s="33"/>
      <c r="E78" s="11"/>
      <c r="F78" s="33"/>
      <c r="G78" s="33"/>
      <c r="H78" s="33"/>
      <c r="I78" s="33"/>
      <c r="J78" s="33"/>
      <c r="K78" s="42"/>
      <c r="L78" s="42"/>
      <c r="M78" s="43"/>
    </row>
    <row r="79" spans="1:13" ht="18">
      <c r="A79" s="7">
        <v>42156</v>
      </c>
      <c r="B79" s="15">
        <f t="shared" si="15"/>
        <v>279847.4583333333</v>
      </c>
      <c r="C79" s="11">
        <f t="shared" si="16"/>
        <v>6716338.999999998</v>
      </c>
      <c r="D79" s="33"/>
      <c r="E79" s="11"/>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7362054</v>
      </c>
      <c r="C81" s="25">
        <f>SUM(B8:B19)</f>
        <v>7362054</v>
      </c>
      <c r="D81" s="25">
        <f>SUM(D8:D19)</f>
        <v>417468</v>
      </c>
      <c r="E81" s="25">
        <f>SUM(E8:E19)</f>
        <v>7929218</v>
      </c>
      <c r="F81" s="25"/>
      <c r="G81" s="25">
        <f>SUM(G8:G19)</f>
        <v>8346686</v>
      </c>
      <c r="H81" s="25">
        <f>G81</f>
        <v>8346686</v>
      </c>
      <c r="I81" s="25">
        <f>I19</f>
        <v>-984632</v>
      </c>
      <c r="J81" s="25">
        <f>J19</f>
        <v>760268</v>
      </c>
      <c r="K81" s="30">
        <f>SUM(K8:K19)</f>
        <v>39866</v>
      </c>
      <c r="L81" s="30">
        <f>SUM(L8:L19)</f>
        <v>43699</v>
      </c>
      <c r="M81" s="30">
        <f>SUM(M8:M19)</f>
        <v>2572</v>
      </c>
    </row>
    <row r="82" spans="1:13" ht="15" hidden="1">
      <c r="A82" s="20" t="s">
        <v>22</v>
      </c>
      <c r="B82" s="25">
        <v>10005385</v>
      </c>
      <c r="C82" s="25">
        <f>C31</f>
        <v>10005385.000000002</v>
      </c>
      <c r="D82" s="25">
        <f>SUM(D20:D31)</f>
        <v>504516</v>
      </c>
      <c r="E82" s="25">
        <f>SUM(E20:E31)</f>
        <v>8409981</v>
      </c>
      <c r="F82" s="25"/>
      <c r="G82" s="25">
        <f>SUM(G20:G31)</f>
        <v>8914497</v>
      </c>
      <c r="H82" s="25">
        <f>G82</f>
        <v>8914497</v>
      </c>
      <c r="I82" s="25">
        <f>I31</f>
        <v>1090888.0000000019</v>
      </c>
      <c r="J82" s="25">
        <f>AVERAGE(G20:G31)</f>
        <v>742874.75</v>
      </c>
      <c r="K82" s="30">
        <f>SUM(K20:K31)</f>
        <v>54416</v>
      </c>
      <c r="L82" s="30">
        <f>SUM(L20:L31)</f>
        <v>46228</v>
      </c>
      <c r="M82" s="30">
        <f>SUM(M20:M31)</f>
        <v>7560</v>
      </c>
    </row>
    <row r="83" spans="1:13" ht="15" hidden="1">
      <c r="A83" s="20" t="s">
        <v>23</v>
      </c>
      <c r="B83" s="25">
        <f>SUM(B81:B82)</f>
        <v>17367439</v>
      </c>
      <c r="C83" s="25">
        <f>SUM(C81:C82)</f>
        <v>17367439</v>
      </c>
      <c r="D83" s="25">
        <f>D81+D82</f>
        <v>921984</v>
      </c>
      <c r="E83" s="25">
        <f>E81+E82</f>
        <v>16339199</v>
      </c>
      <c r="F83" s="25"/>
      <c r="G83" s="25">
        <f>G81+G82</f>
        <v>17261183</v>
      </c>
      <c r="H83" s="25">
        <f>H81+H82</f>
        <v>17261183</v>
      </c>
      <c r="I83" s="25"/>
      <c r="J83" s="25">
        <f>AVERAGE(G8:G31)</f>
        <v>719215.9583333334</v>
      </c>
      <c r="K83" s="27">
        <f>SUM(K81:K82)</f>
        <v>94282</v>
      </c>
      <c r="L83" s="27">
        <f>SUM(L81:L82)</f>
        <v>89927</v>
      </c>
      <c r="M83" s="27">
        <f>SUM(M81:M82)</f>
        <v>10132</v>
      </c>
    </row>
    <row r="84" spans="1:12" ht="15" hidden="1">
      <c r="A84" s="20"/>
      <c r="B84" s="25"/>
      <c r="C84" s="25"/>
      <c r="D84" s="25"/>
      <c r="E84" s="25"/>
      <c r="F84" s="25"/>
      <c r="G84" s="25"/>
      <c r="H84" s="25"/>
      <c r="I84" s="25"/>
      <c r="J84" s="25"/>
      <c r="K84" s="27"/>
      <c r="L84" s="27"/>
    </row>
    <row r="85" spans="1:13" ht="15" hidden="1">
      <c r="A85" s="20" t="s">
        <v>24</v>
      </c>
      <c r="B85" s="25">
        <v>2069916</v>
      </c>
      <c r="C85" s="25">
        <f>C43</f>
        <v>2069916</v>
      </c>
      <c r="D85" s="25">
        <f>SUM(D32:D43)</f>
        <v>995</v>
      </c>
      <c r="E85" s="25">
        <f>SUM(E32:E43)</f>
        <v>521117</v>
      </c>
      <c r="F85" s="25">
        <f>SUM(F32:F74)</f>
        <v>-178</v>
      </c>
      <c r="G85" s="25">
        <f>SUM(G32:G43)</f>
        <v>522357</v>
      </c>
      <c r="H85" s="25">
        <f>G85</f>
        <v>522357</v>
      </c>
      <c r="I85" s="25">
        <f>I43</f>
        <v>1547559</v>
      </c>
      <c r="J85" s="25">
        <f>AVERAGE(G32:G43)</f>
        <v>43529.75</v>
      </c>
      <c r="K85" s="30">
        <f>SUM(K32:K43)</f>
        <v>75239</v>
      </c>
      <c r="L85" s="30">
        <f>SUM(L32:L43)</f>
        <v>67038</v>
      </c>
      <c r="M85" s="4">
        <f>SUM(M32:M43)</f>
        <v>3809</v>
      </c>
    </row>
    <row r="86" spans="1:13" ht="15" hidden="1">
      <c r="A86" s="20" t="s">
        <v>25</v>
      </c>
      <c r="B86" s="25">
        <v>3919991</v>
      </c>
      <c r="C86" s="25">
        <f>SUM(B44:B55)</f>
        <v>3919990.9999999995</v>
      </c>
      <c r="D86" s="25">
        <f>SUM(D44:D55)</f>
        <v>869</v>
      </c>
      <c r="E86" s="25">
        <f>SUM(E44:E55)</f>
        <v>1634078</v>
      </c>
      <c r="F86" s="25">
        <f>SUM(F44:F55)</f>
        <v>-423</v>
      </c>
      <c r="G86" s="25">
        <f>SUM(G44:G55)</f>
        <v>1634524</v>
      </c>
      <c r="H86" s="25">
        <f>G86</f>
        <v>1634524</v>
      </c>
      <c r="I86" s="25">
        <f>I55</f>
        <v>2285466.9999999995</v>
      </c>
      <c r="J86" s="25">
        <f>J55</f>
        <v>136210.33333333334</v>
      </c>
      <c r="K86" s="30">
        <f>SUM(K44:K55)</f>
        <v>30189</v>
      </c>
      <c r="L86" s="30">
        <f>SUM(L44:L55)</f>
        <v>25528</v>
      </c>
      <c r="M86" s="44">
        <f>SUM(M44:M55)</f>
        <v>0</v>
      </c>
    </row>
    <row r="87" spans="1:13" ht="15" hidden="1">
      <c r="A87" s="20" t="s">
        <v>26</v>
      </c>
      <c r="B87" s="25">
        <f>B85+B86</f>
        <v>5989907</v>
      </c>
      <c r="C87" s="25">
        <f aca="true" t="shared" si="22" ref="C87:M87">SUM(C85:C86)</f>
        <v>5989907</v>
      </c>
      <c r="D87" s="25">
        <f t="shared" si="22"/>
        <v>1864</v>
      </c>
      <c r="E87" s="25">
        <f t="shared" si="22"/>
        <v>2155195</v>
      </c>
      <c r="F87" s="25">
        <f t="shared" si="22"/>
        <v>-601</v>
      </c>
      <c r="G87" s="25">
        <f t="shared" si="22"/>
        <v>2156881</v>
      </c>
      <c r="H87" s="25">
        <f t="shared" si="22"/>
        <v>2156881</v>
      </c>
      <c r="I87" s="25">
        <f t="shared" si="22"/>
        <v>3833025.9999999995</v>
      </c>
      <c r="J87" s="25">
        <f t="shared" si="22"/>
        <v>179740.08333333334</v>
      </c>
      <c r="K87" s="27">
        <f t="shared" si="22"/>
        <v>105428</v>
      </c>
      <c r="L87" s="27">
        <f t="shared" si="22"/>
        <v>92566</v>
      </c>
      <c r="M87" s="27">
        <f t="shared" si="22"/>
        <v>3809</v>
      </c>
    </row>
    <row r="88" spans="1:13" ht="15" hidden="1">
      <c r="A88" s="20"/>
      <c r="B88" s="25"/>
      <c r="C88" s="25"/>
      <c r="D88" s="25"/>
      <c r="E88" s="25"/>
      <c r="F88" s="25"/>
      <c r="G88" s="25"/>
      <c r="H88" s="25"/>
      <c r="I88" s="25"/>
      <c r="J88" s="25"/>
      <c r="K88" s="27"/>
      <c r="L88" s="27"/>
      <c r="M88" s="27"/>
    </row>
    <row r="89" spans="1:13" ht="15" hidden="1">
      <c r="A89" s="20"/>
      <c r="B89" s="25"/>
      <c r="C89" s="25"/>
      <c r="D89" s="25"/>
      <c r="E89" s="25"/>
      <c r="F89" s="25"/>
      <c r="G89" s="25"/>
      <c r="H89" s="25"/>
      <c r="I89" s="25"/>
      <c r="J89" s="25"/>
      <c r="K89" s="27"/>
      <c r="L89" s="27"/>
      <c r="M89" s="27"/>
    </row>
    <row r="90" spans="1:13" s="56" customFormat="1" ht="18" hidden="1">
      <c r="A90" s="52" t="s">
        <v>27</v>
      </c>
      <c r="B90" s="53">
        <f>4999694/2</f>
        <v>2499847</v>
      </c>
      <c r="C90" s="53">
        <f>C67</f>
        <v>3358169.5000000005</v>
      </c>
      <c r="D90" s="53">
        <f>SUM(D56:D67)</f>
        <v>50</v>
      </c>
      <c r="E90" s="53">
        <f>SUM(E56:E67)</f>
        <v>3048447.72</v>
      </c>
      <c r="F90" s="53">
        <f>SUM(F56:F67)</f>
        <v>0</v>
      </c>
      <c r="G90" s="53">
        <f>SUM(G56:G67)</f>
        <v>3048497.72</v>
      </c>
      <c r="H90" s="53">
        <f aca="true" t="shared" si="23" ref="H90:J91">H67</f>
        <v>3048497.72</v>
      </c>
      <c r="I90" s="53">
        <f t="shared" si="23"/>
        <v>309671.78000000026</v>
      </c>
      <c r="J90" s="53">
        <f t="shared" si="23"/>
        <v>254041.47666666668</v>
      </c>
      <c r="K90" s="54">
        <f>SUM(K56:K67)</f>
        <v>58410</v>
      </c>
      <c r="L90" s="54">
        <f>SUM(L56:L67)</f>
        <v>59878</v>
      </c>
      <c r="M90" s="55"/>
    </row>
    <row r="91" spans="1:13" s="56" customFormat="1" ht="18">
      <c r="A91" s="52" t="s">
        <v>28</v>
      </c>
      <c r="B91" s="53">
        <f>4999694/2</f>
        <v>2499847</v>
      </c>
      <c r="C91" s="53">
        <v>2499847</v>
      </c>
      <c r="D91" s="53">
        <f>SUM(D68:D79)</f>
        <v>75</v>
      </c>
      <c r="E91" s="53">
        <f>SUM(E68:E79)</f>
        <v>2074231</v>
      </c>
      <c r="F91" s="53">
        <f>SUM(F68:F79)</f>
        <v>0</v>
      </c>
      <c r="G91" s="53">
        <f>SUM(G68:G79)</f>
        <v>2074306</v>
      </c>
      <c r="H91" s="53">
        <f t="shared" si="23"/>
        <v>3367167.72</v>
      </c>
      <c r="I91" s="53">
        <f t="shared" si="23"/>
        <v>270849.23833333375</v>
      </c>
      <c r="J91" s="53">
        <f t="shared" si="23"/>
        <v>259012.90153846156</v>
      </c>
      <c r="K91" s="53">
        <f>SUM(K68:K79)</f>
        <v>28125</v>
      </c>
      <c r="L91" s="53">
        <f>SUM(L68:L79)</f>
        <v>33643</v>
      </c>
      <c r="M91" s="55"/>
    </row>
    <row r="92" spans="1:13" ht="18">
      <c r="A92" s="20" t="s">
        <v>29</v>
      </c>
      <c r="B92" s="8">
        <v>6716339</v>
      </c>
      <c r="C92" s="8">
        <f>C79</f>
        <v>6716338.999999998</v>
      </c>
      <c r="D92" s="8">
        <f aca="true" t="shared" si="24" ref="D92:L92">D90+D91</f>
        <v>125</v>
      </c>
      <c r="E92" s="8">
        <f t="shared" si="24"/>
        <v>5122678.720000001</v>
      </c>
      <c r="F92" s="8">
        <f t="shared" si="24"/>
        <v>0</v>
      </c>
      <c r="G92" s="8">
        <f t="shared" si="24"/>
        <v>5122803.720000001</v>
      </c>
      <c r="H92" s="8">
        <f>H74</f>
        <v>5122803.720000001</v>
      </c>
      <c r="I92" s="8">
        <f>I74</f>
        <v>194297.98833333235</v>
      </c>
      <c r="J92" s="8">
        <f>J74</f>
        <v>269621.24842105265</v>
      </c>
      <c r="K92" s="9">
        <f t="shared" si="24"/>
        <v>86535</v>
      </c>
      <c r="L92" s="9">
        <f t="shared" si="24"/>
        <v>93521</v>
      </c>
      <c r="M92" s="10"/>
    </row>
    <row r="93" spans="1:13" ht="18">
      <c r="A93" s="20"/>
      <c r="B93" s="8"/>
      <c r="C93" s="8"/>
      <c r="D93" s="23"/>
      <c r="E93" s="8"/>
      <c r="F93" s="8"/>
      <c r="G93" s="8"/>
      <c r="H93" s="10"/>
      <c r="I93" s="24"/>
      <c r="J93" s="8"/>
      <c r="K93" s="21"/>
      <c r="L93" s="21"/>
      <c r="M93" s="10"/>
    </row>
    <row r="94" spans="1:12" ht="15">
      <c r="A94" s="20" t="s">
        <v>30</v>
      </c>
      <c r="B94" s="25"/>
      <c r="C94" s="25"/>
      <c r="D94" s="26"/>
      <c r="E94" s="25"/>
      <c r="F94" s="25"/>
      <c r="G94" s="25"/>
      <c r="I94" s="20"/>
      <c r="J94" s="25"/>
      <c r="K94" s="27"/>
      <c r="L94" s="27"/>
    </row>
    <row r="95" spans="1:13" ht="18">
      <c r="A95" s="28" t="s">
        <v>31</v>
      </c>
      <c r="B95" s="8"/>
      <c r="C95" s="8"/>
      <c r="D95" s="23"/>
      <c r="E95" s="8"/>
      <c r="F95" s="8"/>
      <c r="G95" s="8"/>
      <c r="H95" s="8"/>
      <c r="I95" s="8"/>
      <c r="J95" s="8"/>
      <c r="K95" s="21"/>
      <c r="L95" s="21"/>
      <c r="M95" s="10"/>
    </row>
    <row r="96" spans="1:13" ht="18">
      <c r="A96" s="28" t="s">
        <v>32</v>
      </c>
      <c r="B96" s="8"/>
      <c r="C96" s="8"/>
      <c r="D96" s="23"/>
      <c r="E96" s="8"/>
      <c r="F96" s="8"/>
      <c r="G96" s="8"/>
      <c r="H96" s="8"/>
      <c r="I96" s="8"/>
      <c r="J96" s="8"/>
      <c r="K96" s="21"/>
      <c r="L96" s="21"/>
      <c r="M96" s="10"/>
    </row>
    <row r="97" spans="1:13" ht="18">
      <c r="A97" s="28" t="s">
        <v>33</v>
      </c>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7" ht="15">
      <c r="B99" s="29"/>
      <c r="C99" s="29"/>
      <c r="D99" s="29"/>
      <c r="E99" s="29"/>
      <c r="F99" s="29"/>
      <c r="G99" s="29"/>
    </row>
    <row r="100" spans="1:7" ht="18">
      <c r="A100" s="5"/>
      <c r="B100" s="29"/>
      <c r="C100" s="29"/>
      <c r="D100" s="29"/>
      <c r="E100" s="29"/>
      <c r="F100" s="29"/>
      <c r="G100" s="29"/>
    </row>
    <row r="101" spans="1:7" ht="15">
      <c r="A101" s="20"/>
      <c r="B101" s="29"/>
      <c r="C101" s="29"/>
      <c r="D101" s="29"/>
      <c r="E101" s="29"/>
      <c r="F101" s="29"/>
      <c r="G101" s="29"/>
    </row>
    <row r="102" spans="1:7" ht="15">
      <c r="A102" s="20"/>
      <c r="B102" s="29"/>
      <c r="C102" s="29"/>
      <c r="D102" s="29"/>
      <c r="E102" s="29"/>
      <c r="F102" s="29"/>
      <c r="G102"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73"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4.7109375" style="4" customWidth="1"/>
    <col min="3" max="3" width="19.7109375" style="4" customWidth="1"/>
    <col min="4" max="4" width="16.7109375" style="4" customWidth="1"/>
    <col min="5" max="5" width="16.28125" style="4" customWidth="1"/>
    <col min="6" max="6" width="20.00390625" style="4" customWidth="1"/>
    <col min="7" max="7" width="15.57421875" style="4" customWidth="1"/>
    <col min="8" max="8" width="16.7109375" style="4" customWidth="1"/>
    <col min="9" max="9" width="16.140625" style="4" customWidth="1"/>
    <col min="10" max="10" width="13.140625" style="4" customWidth="1"/>
    <col min="11" max="11" width="13.8515625" style="4" customWidth="1"/>
    <col min="12" max="12" width="12.8515625" style="4" customWidth="1"/>
    <col min="13" max="13" width="9.00390625" style="4" hidden="1" customWidth="1"/>
  </cols>
  <sheetData>
    <row r="1" spans="1:9" ht="18">
      <c r="A1" s="1" t="s">
        <v>0</v>
      </c>
      <c r="B1" s="2"/>
      <c r="C1" s="3"/>
      <c r="D1" s="3"/>
      <c r="E1" s="3"/>
      <c r="F1" s="3"/>
      <c r="G1" s="2"/>
      <c r="H1" s="2"/>
      <c r="I1" s="2"/>
    </row>
    <row r="2" spans="1:2" ht="18">
      <c r="A2" s="5" t="s">
        <v>1</v>
      </c>
      <c r="B2" s="6">
        <v>3</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34</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299292.1666666667</v>
      </c>
      <c r="C8" s="25">
        <f>B8</f>
        <v>299292.1666666667</v>
      </c>
      <c r="D8" s="25">
        <v>18130</v>
      </c>
      <c r="E8" s="25">
        <v>247243</v>
      </c>
      <c r="F8" s="25"/>
      <c r="G8" s="25">
        <f aca="true" t="shared" si="1" ref="G8:G31">D8+E8</f>
        <v>265373</v>
      </c>
      <c r="H8" s="25">
        <f>G8</f>
        <v>265373</v>
      </c>
      <c r="I8" s="25">
        <f aca="true" t="shared" si="2" ref="I8:I39">C8-H8</f>
        <v>33919.166666666686</v>
      </c>
      <c r="J8" s="25">
        <f>H8</f>
        <v>265373</v>
      </c>
      <c r="K8" s="30">
        <v>1505</v>
      </c>
      <c r="L8" s="30">
        <v>1651</v>
      </c>
    </row>
    <row r="9" spans="1:12" ht="15" hidden="1">
      <c r="A9" s="7">
        <v>39295</v>
      </c>
      <c r="B9" s="25">
        <f t="shared" si="0"/>
        <v>299292.1666666667</v>
      </c>
      <c r="C9" s="25">
        <f aca="true" t="shared" si="3" ref="C9:C19">C8+B9</f>
        <v>598584.3333333334</v>
      </c>
      <c r="D9" s="25">
        <v>28464</v>
      </c>
      <c r="E9" s="25">
        <v>286040</v>
      </c>
      <c r="F9" s="25"/>
      <c r="G9" s="25">
        <f t="shared" si="1"/>
        <v>314504</v>
      </c>
      <c r="H9" s="25">
        <f aca="true" t="shared" si="4" ref="H9:H19">H8+G9</f>
        <v>579877</v>
      </c>
      <c r="I9" s="25">
        <f t="shared" si="2"/>
        <v>18707.333333333372</v>
      </c>
      <c r="J9" s="25">
        <f>AVERAGE(G8:G9)</f>
        <v>289938.5</v>
      </c>
      <c r="K9" s="30">
        <v>1534</v>
      </c>
      <c r="L9" s="30">
        <v>1727</v>
      </c>
    </row>
    <row r="10" spans="1:12" ht="15" hidden="1">
      <c r="A10" s="7">
        <v>39326</v>
      </c>
      <c r="B10" s="25">
        <f t="shared" si="0"/>
        <v>299292.1666666667</v>
      </c>
      <c r="C10" s="25">
        <f t="shared" si="3"/>
        <v>897876.5</v>
      </c>
      <c r="D10" s="25">
        <v>24276</v>
      </c>
      <c r="E10" s="25">
        <v>258323</v>
      </c>
      <c r="F10" s="25"/>
      <c r="G10" s="25">
        <f t="shared" si="1"/>
        <v>282599</v>
      </c>
      <c r="H10" s="25">
        <f t="shared" si="4"/>
        <v>862476</v>
      </c>
      <c r="I10" s="25">
        <f t="shared" si="2"/>
        <v>35400.5</v>
      </c>
      <c r="J10" s="25">
        <f>AVERAGE(G8:G10)</f>
        <v>287492</v>
      </c>
      <c r="K10" s="30">
        <v>1620</v>
      </c>
      <c r="L10" s="30">
        <v>1766</v>
      </c>
    </row>
    <row r="11" spans="1:13" ht="15" hidden="1">
      <c r="A11" s="7">
        <v>39356</v>
      </c>
      <c r="B11" s="25">
        <f t="shared" si="0"/>
        <v>299292.1666666667</v>
      </c>
      <c r="C11" s="25">
        <f t="shared" si="3"/>
        <v>1197168.6666666667</v>
      </c>
      <c r="D11" s="25">
        <v>12148</v>
      </c>
      <c r="E11" s="25">
        <v>278711</v>
      </c>
      <c r="F11" s="25"/>
      <c r="G11" s="25">
        <f t="shared" si="1"/>
        <v>290859</v>
      </c>
      <c r="H11" s="25">
        <f t="shared" si="4"/>
        <v>1153335</v>
      </c>
      <c r="I11" s="25">
        <f t="shared" si="2"/>
        <v>43833.666666666744</v>
      </c>
      <c r="J11" s="25">
        <f>AVERAGE(G8:G11)</f>
        <v>288333.75</v>
      </c>
      <c r="K11" s="30">
        <v>1653</v>
      </c>
      <c r="L11" s="30">
        <v>1569</v>
      </c>
      <c r="M11" s="29">
        <v>33</v>
      </c>
    </row>
    <row r="12" spans="1:13" ht="15" hidden="1">
      <c r="A12" s="7">
        <v>39387</v>
      </c>
      <c r="B12" s="25">
        <f t="shared" si="0"/>
        <v>299292.1666666667</v>
      </c>
      <c r="C12" s="25">
        <f t="shared" si="3"/>
        <v>1496460.8333333335</v>
      </c>
      <c r="D12" s="25">
        <v>9657</v>
      </c>
      <c r="E12" s="25">
        <v>334432</v>
      </c>
      <c r="F12" s="25"/>
      <c r="G12" s="25">
        <f t="shared" si="1"/>
        <v>344089</v>
      </c>
      <c r="H12" s="25">
        <f t="shared" si="4"/>
        <v>1497424</v>
      </c>
      <c r="I12" s="25">
        <f t="shared" si="2"/>
        <v>-963.1666666665114</v>
      </c>
      <c r="J12" s="25">
        <f>AVERAGE(G8:G12)</f>
        <v>299484.8</v>
      </c>
      <c r="K12" s="30">
        <v>1633</v>
      </c>
      <c r="L12" s="30">
        <v>1514</v>
      </c>
      <c r="M12" s="29">
        <v>99</v>
      </c>
    </row>
    <row r="13" spans="1:13" ht="15" hidden="1">
      <c r="A13" s="7">
        <v>39417</v>
      </c>
      <c r="B13" s="25">
        <f t="shared" si="0"/>
        <v>299292.1666666667</v>
      </c>
      <c r="C13" s="25">
        <f t="shared" si="3"/>
        <v>1795753.0000000002</v>
      </c>
      <c r="D13" s="25">
        <v>12903</v>
      </c>
      <c r="E13" s="25">
        <v>301782</v>
      </c>
      <c r="F13" s="25"/>
      <c r="G13" s="25">
        <f t="shared" si="1"/>
        <v>314685</v>
      </c>
      <c r="H13" s="25">
        <f t="shared" si="4"/>
        <v>1812109</v>
      </c>
      <c r="I13" s="25">
        <f t="shared" si="2"/>
        <v>-16355.999999999767</v>
      </c>
      <c r="J13" s="25">
        <f>AVERAGE(G12:G13)</f>
        <v>329387</v>
      </c>
      <c r="K13" s="30">
        <v>1726</v>
      </c>
      <c r="L13" s="30">
        <v>1602</v>
      </c>
      <c r="M13" s="29">
        <v>162</v>
      </c>
    </row>
    <row r="14" spans="1:13" ht="15" hidden="1">
      <c r="A14" s="7">
        <v>39448</v>
      </c>
      <c r="B14" s="25">
        <f t="shared" si="0"/>
        <v>299292.1666666667</v>
      </c>
      <c r="C14" s="25">
        <f t="shared" si="3"/>
        <v>2095045.166666667</v>
      </c>
      <c r="D14" s="25">
        <v>17116</v>
      </c>
      <c r="E14" s="25">
        <v>266690</v>
      </c>
      <c r="F14" s="25"/>
      <c r="G14" s="25">
        <f t="shared" si="1"/>
        <v>283806</v>
      </c>
      <c r="H14" s="25">
        <f t="shared" si="4"/>
        <v>2095915</v>
      </c>
      <c r="I14" s="25">
        <f t="shared" si="2"/>
        <v>-869.8333333330229</v>
      </c>
      <c r="J14" s="25">
        <f>AVERAGE(G12:G14)</f>
        <v>314193.3333333333</v>
      </c>
      <c r="K14" s="30">
        <v>1844</v>
      </c>
      <c r="L14" s="30">
        <v>1729</v>
      </c>
      <c r="M14" s="29">
        <v>217</v>
      </c>
    </row>
    <row r="15" spans="1:13" ht="15" hidden="1">
      <c r="A15" s="7">
        <v>39479</v>
      </c>
      <c r="B15" s="25">
        <f t="shared" si="0"/>
        <v>299292.1666666667</v>
      </c>
      <c r="C15" s="25">
        <f t="shared" si="3"/>
        <v>2394337.3333333335</v>
      </c>
      <c r="D15" s="25">
        <v>10793</v>
      </c>
      <c r="E15" s="25">
        <v>283170</v>
      </c>
      <c r="F15" s="25"/>
      <c r="G15" s="25">
        <f t="shared" si="1"/>
        <v>293963</v>
      </c>
      <c r="H15" s="25">
        <f t="shared" si="4"/>
        <v>2389878</v>
      </c>
      <c r="I15" s="25">
        <f t="shared" si="2"/>
        <v>4459.333333333489</v>
      </c>
      <c r="J15" s="25">
        <f>AVERAGE(G12:G15)</f>
        <v>309135.75</v>
      </c>
      <c r="K15" s="30">
        <v>1910</v>
      </c>
      <c r="L15" s="30">
        <v>1809</v>
      </c>
      <c r="M15" s="29">
        <v>264</v>
      </c>
    </row>
    <row r="16" spans="1:13" ht="15" hidden="1">
      <c r="A16" s="7">
        <v>39508</v>
      </c>
      <c r="B16" s="25">
        <f t="shared" si="0"/>
        <v>299292.1666666667</v>
      </c>
      <c r="C16" s="25">
        <f t="shared" si="3"/>
        <v>2693629.5</v>
      </c>
      <c r="D16" s="25">
        <v>13886</v>
      </c>
      <c r="E16" s="25">
        <v>278375</v>
      </c>
      <c r="F16" s="25"/>
      <c r="G16" s="25">
        <f t="shared" si="1"/>
        <v>292261</v>
      </c>
      <c r="H16" s="25">
        <f t="shared" si="4"/>
        <v>2682139</v>
      </c>
      <c r="I16" s="25">
        <f t="shared" si="2"/>
        <v>11490.5</v>
      </c>
      <c r="J16" s="25">
        <f>AVERAGE(G12:G16)</f>
        <v>305760.8</v>
      </c>
      <c r="K16" s="30">
        <v>2009</v>
      </c>
      <c r="L16" s="30">
        <v>1780</v>
      </c>
      <c r="M16" s="29">
        <v>295</v>
      </c>
    </row>
    <row r="17" spans="1:13" ht="15" hidden="1">
      <c r="A17" s="7">
        <v>39539</v>
      </c>
      <c r="B17" s="25">
        <f t="shared" si="0"/>
        <v>299292.1666666667</v>
      </c>
      <c r="C17" s="25">
        <f t="shared" si="3"/>
        <v>2992921.6666666665</v>
      </c>
      <c r="D17" s="25">
        <v>14660</v>
      </c>
      <c r="E17" s="25">
        <v>342872</v>
      </c>
      <c r="F17" s="25"/>
      <c r="G17" s="25">
        <f t="shared" si="1"/>
        <v>357532</v>
      </c>
      <c r="H17" s="25">
        <f t="shared" si="4"/>
        <v>3039671</v>
      </c>
      <c r="I17" s="25">
        <f t="shared" si="2"/>
        <v>-46749.33333333349</v>
      </c>
      <c r="J17" s="25">
        <f>AVERAGE(G14:G17)</f>
        <v>306890.5</v>
      </c>
      <c r="K17" s="30">
        <v>2087</v>
      </c>
      <c r="L17" s="30">
        <v>1852</v>
      </c>
      <c r="M17" s="29">
        <v>326</v>
      </c>
    </row>
    <row r="18" spans="1:13" ht="15" hidden="1">
      <c r="A18" s="7">
        <v>39569</v>
      </c>
      <c r="B18" s="33">
        <f t="shared" si="0"/>
        <v>299292.1666666667</v>
      </c>
      <c r="C18" s="33">
        <f t="shared" si="3"/>
        <v>3292213.833333333</v>
      </c>
      <c r="D18" s="33">
        <v>14507</v>
      </c>
      <c r="E18" s="33">
        <v>333142</v>
      </c>
      <c r="F18" s="33"/>
      <c r="G18" s="25">
        <f t="shared" si="1"/>
        <v>347649</v>
      </c>
      <c r="H18" s="25">
        <f t="shared" si="4"/>
        <v>3387320</v>
      </c>
      <c r="I18" s="25">
        <f t="shared" si="2"/>
        <v>-95106.16666666698</v>
      </c>
      <c r="J18" s="25">
        <f>AVERAGE(G14:G18)</f>
        <v>315042.2</v>
      </c>
      <c r="K18" s="30">
        <v>2150</v>
      </c>
      <c r="L18" s="30">
        <v>1935</v>
      </c>
      <c r="M18" s="29">
        <v>378</v>
      </c>
    </row>
    <row r="19" spans="1:13" ht="15.75" hidden="1" thickBot="1">
      <c r="A19" s="7">
        <v>39600</v>
      </c>
      <c r="B19" s="34">
        <f t="shared" si="0"/>
        <v>299292.1666666667</v>
      </c>
      <c r="C19" s="34">
        <f t="shared" si="3"/>
        <v>3591505.9999999995</v>
      </c>
      <c r="D19" s="34">
        <v>13986</v>
      </c>
      <c r="E19" s="34">
        <v>323976</v>
      </c>
      <c r="F19" s="34"/>
      <c r="G19" s="34">
        <f t="shared" si="1"/>
        <v>337962</v>
      </c>
      <c r="H19" s="34">
        <f t="shared" si="4"/>
        <v>3725282</v>
      </c>
      <c r="I19" s="34">
        <f t="shared" si="2"/>
        <v>-133776.00000000047</v>
      </c>
      <c r="J19" s="34">
        <f>AVERAGE(G15:G19)</f>
        <v>325873.4</v>
      </c>
      <c r="K19" s="35">
        <v>2180</v>
      </c>
      <c r="L19" s="35">
        <v>1820</v>
      </c>
      <c r="M19" s="36">
        <v>433</v>
      </c>
    </row>
    <row r="20" spans="1:13" ht="15" hidden="1">
      <c r="A20" s="7">
        <v>39630</v>
      </c>
      <c r="B20" s="37">
        <v>443252.8</v>
      </c>
      <c r="C20" s="33">
        <f>B20</f>
        <v>443252.8</v>
      </c>
      <c r="D20" s="33">
        <v>13356</v>
      </c>
      <c r="E20" s="33">
        <v>378629</v>
      </c>
      <c r="F20" s="33"/>
      <c r="G20" s="33">
        <f t="shared" si="1"/>
        <v>391985</v>
      </c>
      <c r="H20" s="33">
        <f>G20</f>
        <v>391985</v>
      </c>
      <c r="I20" s="33">
        <f t="shared" si="2"/>
        <v>51267.79999999999</v>
      </c>
      <c r="J20" s="33">
        <f>H20</f>
        <v>391985</v>
      </c>
      <c r="K20" s="30">
        <v>2225</v>
      </c>
      <c r="L20" s="30">
        <v>1946</v>
      </c>
      <c r="M20" s="29">
        <v>466</v>
      </c>
    </row>
    <row r="21" spans="1:13" ht="15" hidden="1">
      <c r="A21" s="7">
        <v>39661</v>
      </c>
      <c r="B21" s="37">
        <v>443252.8</v>
      </c>
      <c r="C21" s="33">
        <f aca="true" t="shared" si="5" ref="C21:C31">C20+B21</f>
        <v>886505.6</v>
      </c>
      <c r="D21" s="33">
        <v>11677</v>
      </c>
      <c r="E21" s="33">
        <v>358456</v>
      </c>
      <c r="F21" s="33"/>
      <c r="G21" s="33">
        <f t="shared" si="1"/>
        <v>370133</v>
      </c>
      <c r="H21" s="33">
        <f aca="true" t="shared" si="6" ref="H21:H31">H20+G21</f>
        <v>762118</v>
      </c>
      <c r="I21" s="33">
        <f t="shared" si="2"/>
        <v>124387.59999999998</v>
      </c>
      <c r="J21" s="33">
        <f>H21/2</f>
        <v>381059</v>
      </c>
      <c r="K21" s="30">
        <v>2284</v>
      </c>
      <c r="L21" s="30">
        <v>2110</v>
      </c>
      <c r="M21" s="29">
        <v>520</v>
      </c>
    </row>
    <row r="22" spans="1:13" ht="15" hidden="1">
      <c r="A22" s="7">
        <v>39692</v>
      </c>
      <c r="B22" s="37">
        <v>443252.8</v>
      </c>
      <c r="C22" s="33">
        <f t="shared" si="5"/>
        <v>1329758.4</v>
      </c>
      <c r="D22" s="33">
        <v>22987</v>
      </c>
      <c r="E22" s="33">
        <v>350921</v>
      </c>
      <c r="F22" s="33"/>
      <c r="G22" s="33">
        <f t="shared" si="1"/>
        <v>373908</v>
      </c>
      <c r="H22" s="33">
        <f t="shared" si="6"/>
        <v>1136026</v>
      </c>
      <c r="I22" s="33">
        <f t="shared" si="2"/>
        <v>193732.3999999999</v>
      </c>
      <c r="J22" s="33">
        <f>H22/3</f>
        <v>378675.3333333333</v>
      </c>
      <c r="K22" s="30">
        <v>2414</v>
      </c>
      <c r="L22" s="30">
        <v>2159</v>
      </c>
      <c r="M22" s="29">
        <v>583</v>
      </c>
    </row>
    <row r="23" spans="1:13" ht="15" hidden="1">
      <c r="A23" s="7">
        <v>39722</v>
      </c>
      <c r="B23" s="37">
        <v>443252.8</v>
      </c>
      <c r="C23" s="33">
        <f t="shared" si="5"/>
        <v>1773011.2</v>
      </c>
      <c r="D23" s="33">
        <v>20224</v>
      </c>
      <c r="E23" s="33">
        <v>381433</v>
      </c>
      <c r="F23" s="33"/>
      <c r="G23" s="33">
        <f t="shared" si="1"/>
        <v>401657</v>
      </c>
      <c r="H23" s="33">
        <f t="shared" si="6"/>
        <v>1537683</v>
      </c>
      <c r="I23" s="33">
        <f t="shared" si="2"/>
        <v>235328.19999999995</v>
      </c>
      <c r="J23" s="33">
        <f>H23/4</f>
        <v>384420.75</v>
      </c>
      <c r="K23" s="30">
        <v>2428</v>
      </c>
      <c r="L23" s="30">
        <v>1962</v>
      </c>
      <c r="M23" s="29">
        <v>592</v>
      </c>
    </row>
    <row r="24" spans="1:13" ht="15" hidden="1">
      <c r="A24" s="7">
        <v>39753</v>
      </c>
      <c r="B24" s="37">
        <v>443252.8</v>
      </c>
      <c r="C24" s="33">
        <f t="shared" si="5"/>
        <v>2216264</v>
      </c>
      <c r="D24" s="33">
        <v>16458</v>
      </c>
      <c r="E24" s="33">
        <v>331288</v>
      </c>
      <c r="F24" s="33"/>
      <c r="G24" s="33">
        <f t="shared" si="1"/>
        <v>347746</v>
      </c>
      <c r="H24" s="33">
        <f t="shared" si="6"/>
        <v>1885429</v>
      </c>
      <c r="I24" s="33">
        <f t="shared" si="2"/>
        <v>330835</v>
      </c>
      <c r="J24" s="33">
        <f>H24/5</f>
        <v>377085.8</v>
      </c>
      <c r="K24" s="30">
        <v>2523</v>
      </c>
      <c r="L24" s="30">
        <v>2205</v>
      </c>
      <c r="M24" s="29">
        <v>579</v>
      </c>
    </row>
    <row r="25" spans="1:13" ht="15" hidden="1">
      <c r="A25" s="7">
        <v>39783</v>
      </c>
      <c r="B25" s="38">
        <v>447366.85714285716</v>
      </c>
      <c r="C25" s="33">
        <f t="shared" si="5"/>
        <v>2663630.8571428573</v>
      </c>
      <c r="D25" s="33">
        <v>14883</v>
      </c>
      <c r="E25" s="33">
        <v>353998</v>
      </c>
      <c r="F25" s="33"/>
      <c r="G25" s="33">
        <f t="shared" si="1"/>
        <v>368881</v>
      </c>
      <c r="H25" s="33">
        <f t="shared" si="6"/>
        <v>2254310</v>
      </c>
      <c r="I25" s="33">
        <f t="shared" si="2"/>
        <v>409320.8571428573</v>
      </c>
      <c r="J25" s="33">
        <f>H25/6</f>
        <v>375718.3333333333</v>
      </c>
      <c r="K25" s="30">
        <v>2609</v>
      </c>
      <c r="L25" s="30">
        <v>1810</v>
      </c>
      <c r="M25" s="29">
        <v>570</v>
      </c>
    </row>
    <row r="26" spans="1:13" ht="15" hidden="1">
      <c r="A26" s="7">
        <v>39814</v>
      </c>
      <c r="B26" s="38">
        <v>447366.85714285716</v>
      </c>
      <c r="C26" s="33">
        <f t="shared" si="5"/>
        <v>3110997.7142857146</v>
      </c>
      <c r="D26" s="33">
        <v>12502</v>
      </c>
      <c r="E26" s="33">
        <v>316922</v>
      </c>
      <c r="F26" s="33"/>
      <c r="G26" s="33">
        <f t="shared" si="1"/>
        <v>329424</v>
      </c>
      <c r="H26" s="33">
        <f t="shared" si="6"/>
        <v>2583734</v>
      </c>
      <c r="I26" s="33">
        <f t="shared" si="2"/>
        <v>527263.7142857146</v>
      </c>
      <c r="J26" s="33">
        <f>H26/7</f>
        <v>369104.85714285716</v>
      </c>
      <c r="K26" s="30">
        <v>2741</v>
      </c>
      <c r="L26" s="30">
        <v>2045</v>
      </c>
      <c r="M26" s="29">
        <v>525</v>
      </c>
    </row>
    <row r="27" spans="1:13" ht="15" hidden="1">
      <c r="A27" s="7">
        <v>39845</v>
      </c>
      <c r="B27" s="38">
        <v>447366.85714285716</v>
      </c>
      <c r="C27" s="33">
        <f t="shared" si="5"/>
        <v>3558364.571428572</v>
      </c>
      <c r="D27" s="33">
        <v>12248</v>
      </c>
      <c r="E27" s="33">
        <v>227778</v>
      </c>
      <c r="F27" s="33"/>
      <c r="G27" s="33">
        <f t="shared" si="1"/>
        <v>240026</v>
      </c>
      <c r="H27" s="33">
        <f t="shared" si="6"/>
        <v>2823760</v>
      </c>
      <c r="I27" s="33">
        <f t="shared" si="2"/>
        <v>734604.5714285718</v>
      </c>
      <c r="J27" s="33">
        <f>H27/8</f>
        <v>352970</v>
      </c>
      <c r="K27" s="30">
        <v>2815</v>
      </c>
      <c r="L27" s="30">
        <v>1799</v>
      </c>
      <c r="M27" s="29">
        <v>491</v>
      </c>
    </row>
    <row r="28" spans="1:13" ht="15" hidden="1">
      <c r="A28" s="7">
        <v>39873</v>
      </c>
      <c r="B28" s="38">
        <v>447366.85714285716</v>
      </c>
      <c r="C28" s="33">
        <f t="shared" si="5"/>
        <v>4005731.428571429</v>
      </c>
      <c r="D28" s="33">
        <v>9847</v>
      </c>
      <c r="E28" s="33">
        <v>285271</v>
      </c>
      <c r="F28" s="33"/>
      <c r="G28" s="33">
        <f t="shared" si="1"/>
        <v>295118</v>
      </c>
      <c r="H28" s="33">
        <f t="shared" si="6"/>
        <v>3118878</v>
      </c>
      <c r="I28" s="33">
        <f t="shared" si="2"/>
        <v>886853.4285714291</v>
      </c>
      <c r="J28" s="33">
        <f>H28/9</f>
        <v>346542</v>
      </c>
      <c r="K28" s="30">
        <v>2938</v>
      </c>
      <c r="L28" s="30">
        <v>1685</v>
      </c>
      <c r="M28" s="4">
        <v>464</v>
      </c>
    </row>
    <row r="29" spans="1:13" ht="15" hidden="1">
      <c r="A29" s="7">
        <v>39904</v>
      </c>
      <c r="B29" s="38">
        <v>447366.85714285716</v>
      </c>
      <c r="C29" s="33">
        <f t="shared" si="5"/>
        <v>4453098.285714286</v>
      </c>
      <c r="D29" s="33">
        <v>10027</v>
      </c>
      <c r="E29" s="33">
        <v>276341</v>
      </c>
      <c r="F29" s="33"/>
      <c r="G29" s="33">
        <f t="shared" si="1"/>
        <v>286368</v>
      </c>
      <c r="H29" s="33">
        <f t="shared" si="6"/>
        <v>3405246</v>
      </c>
      <c r="I29" s="33">
        <f t="shared" si="2"/>
        <v>1047852.2857142864</v>
      </c>
      <c r="J29" s="33">
        <f>H29/10</f>
        <v>340524.6</v>
      </c>
      <c r="K29" s="30">
        <v>3038</v>
      </c>
      <c r="L29" s="30">
        <v>1682</v>
      </c>
      <c r="M29" s="4">
        <v>436</v>
      </c>
    </row>
    <row r="30" spans="1:13" ht="15" hidden="1">
      <c r="A30" s="7">
        <v>39934</v>
      </c>
      <c r="B30" s="38">
        <v>447366.85714285716</v>
      </c>
      <c r="C30" s="33">
        <f t="shared" si="5"/>
        <v>4900465.142857144</v>
      </c>
      <c r="D30" s="33">
        <v>4428</v>
      </c>
      <c r="E30" s="33">
        <v>258632</v>
      </c>
      <c r="F30" s="33"/>
      <c r="G30" s="33">
        <f t="shared" si="1"/>
        <v>263060</v>
      </c>
      <c r="H30" s="33">
        <f t="shared" si="6"/>
        <v>3668306</v>
      </c>
      <c r="I30" s="33">
        <f t="shared" si="2"/>
        <v>1232159.1428571437</v>
      </c>
      <c r="J30" s="33">
        <f>H30/11</f>
        <v>333482.36363636365</v>
      </c>
      <c r="K30" s="30">
        <v>3061</v>
      </c>
      <c r="L30" s="30">
        <v>1631</v>
      </c>
      <c r="M30" s="4">
        <v>424</v>
      </c>
    </row>
    <row r="31" spans="1:13" ht="15.75" hidden="1" thickBot="1">
      <c r="A31" s="7">
        <v>39965</v>
      </c>
      <c r="B31" s="39">
        <v>447366.85714285716</v>
      </c>
      <c r="C31" s="34">
        <f t="shared" si="5"/>
        <v>5347832.000000001</v>
      </c>
      <c r="D31" s="34">
        <v>5608</v>
      </c>
      <c r="E31" s="34">
        <v>276669</v>
      </c>
      <c r="F31" s="34"/>
      <c r="G31" s="34">
        <f t="shared" si="1"/>
        <v>282277</v>
      </c>
      <c r="H31" s="34">
        <f t="shared" si="6"/>
        <v>3950583</v>
      </c>
      <c r="I31" s="34">
        <f t="shared" si="2"/>
        <v>1397249.000000001</v>
      </c>
      <c r="J31" s="34">
        <f>H31/12</f>
        <v>329215.25</v>
      </c>
      <c r="K31" s="40">
        <v>3077</v>
      </c>
      <c r="L31" s="40">
        <v>1648</v>
      </c>
      <c r="M31" s="41">
        <v>388</v>
      </c>
    </row>
    <row r="32" spans="1:13" ht="18" hidden="1">
      <c r="A32" s="7">
        <v>40725</v>
      </c>
      <c r="B32" s="37">
        <f aca="true" t="shared" si="7" ref="B32:B43">$B$85/12</f>
        <v>91812.16666666667</v>
      </c>
      <c r="C32" s="33">
        <f>B32</f>
        <v>91812.16666666667</v>
      </c>
      <c r="D32" s="33">
        <v>50</v>
      </c>
      <c r="E32" s="33">
        <f>22478-F32</f>
        <v>22478</v>
      </c>
      <c r="F32" s="33">
        <v>0</v>
      </c>
      <c r="G32" s="33">
        <f>D32+E32+F32</f>
        <v>22528</v>
      </c>
      <c r="H32" s="33">
        <f>G32</f>
        <v>22528</v>
      </c>
      <c r="I32" s="33">
        <f t="shared" si="2"/>
        <v>69284.16666666667</v>
      </c>
      <c r="J32" s="11">
        <f>H32</f>
        <v>22528</v>
      </c>
      <c r="K32" s="42">
        <v>4334</v>
      </c>
      <c r="L32" s="42">
        <v>884</v>
      </c>
      <c r="M32" s="43">
        <v>354</v>
      </c>
    </row>
    <row r="33" spans="1:13" ht="18" hidden="1">
      <c r="A33" s="7">
        <v>40756</v>
      </c>
      <c r="B33" s="37">
        <f t="shared" si="7"/>
        <v>91812.16666666667</v>
      </c>
      <c r="C33" s="33">
        <f aca="true" t="shared" si="8" ref="C33:C43">C32+B33</f>
        <v>183624.33333333334</v>
      </c>
      <c r="D33" s="33">
        <v>0</v>
      </c>
      <c r="E33" s="33">
        <f>21053+542+135-F33</f>
        <v>21055</v>
      </c>
      <c r="F33" s="33">
        <v>675</v>
      </c>
      <c r="G33" s="33">
        <f>D33+E33</f>
        <v>21055</v>
      </c>
      <c r="H33" s="33">
        <f aca="true" t="shared" si="9" ref="H33:H43">H32+G33</f>
        <v>43583</v>
      </c>
      <c r="I33" s="33">
        <f t="shared" si="2"/>
        <v>140041.33333333334</v>
      </c>
      <c r="J33" s="11">
        <f>H33/2</f>
        <v>21791.5</v>
      </c>
      <c r="K33" s="42">
        <v>3586</v>
      </c>
      <c r="L33" s="42">
        <v>934</v>
      </c>
      <c r="M33" s="43">
        <v>375</v>
      </c>
    </row>
    <row r="34" spans="1:13" ht="18" hidden="1">
      <c r="A34" s="7">
        <v>40787</v>
      </c>
      <c r="B34" s="37">
        <f t="shared" si="7"/>
        <v>91812.16666666667</v>
      </c>
      <c r="C34" s="33">
        <f t="shared" si="8"/>
        <v>275436.5</v>
      </c>
      <c r="D34" s="33">
        <v>0</v>
      </c>
      <c r="E34" s="33">
        <f>14371-F34</f>
        <v>14251</v>
      </c>
      <c r="F34" s="33">
        <v>120</v>
      </c>
      <c r="G34" s="33">
        <f aca="true" t="shared" si="10" ref="G34:G67">D34+E34+F34</f>
        <v>14371</v>
      </c>
      <c r="H34" s="33">
        <f t="shared" si="9"/>
        <v>57954</v>
      </c>
      <c r="I34" s="33">
        <f t="shared" si="2"/>
        <v>217482.5</v>
      </c>
      <c r="J34" s="11">
        <f>H34/3</f>
        <v>19318</v>
      </c>
      <c r="K34" s="42">
        <v>3739</v>
      </c>
      <c r="L34" s="42">
        <v>941</v>
      </c>
      <c r="M34" s="43">
        <v>390</v>
      </c>
    </row>
    <row r="35" spans="1:13" ht="18" hidden="1">
      <c r="A35" s="7">
        <v>40817</v>
      </c>
      <c r="B35" s="37">
        <f t="shared" si="7"/>
        <v>91812.16666666667</v>
      </c>
      <c r="C35" s="33">
        <f t="shared" si="8"/>
        <v>367248.6666666667</v>
      </c>
      <c r="D35" s="33">
        <v>0</v>
      </c>
      <c r="E35" s="33">
        <v>18036</v>
      </c>
      <c r="F35" s="33">
        <v>0</v>
      </c>
      <c r="G35" s="33">
        <f t="shared" si="10"/>
        <v>18036</v>
      </c>
      <c r="H35" s="33">
        <f t="shared" si="9"/>
        <v>75990</v>
      </c>
      <c r="I35" s="33">
        <f t="shared" si="2"/>
        <v>291258.6666666667</v>
      </c>
      <c r="J35" s="11">
        <f>H35/4</f>
        <v>18997.5</v>
      </c>
      <c r="K35" s="42">
        <v>4093</v>
      </c>
      <c r="L35" s="42">
        <v>1063</v>
      </c>
      <c r="M35" s="43">
        <v>387</v>
      </c>
    </row>
    <row r="36" spans="1:13" ht="18" hidden="1">
      <c r="A36" s="7">
        <v>40848</v>
      </c>
      <c r="B36" s="37">
        <f t="shared" si="7"/>
        <v>91812.16666666667</v>
      </c>
      <c r="C36" s="33">
        <f t="shared" si="8"/>
        <v>459060.8333333334</v>
      </c>
      <c r="D36" s="33">
        <v>0</v>
      </c>
      <c r="E36" s="33">
        <v>18126</v>
      </c>
      <c r="F36" s="33">
        <v>0</v>
      </c>
      <c r="G36" s="33">
        <f t="shared" si="10"/>
        <v>18126</v>
      </c>
      <c r="H36" s="33">
        <f t="shared" si="9"/>
        <v>94116</v>
      </c>
      <c r="I36" s="33">
        <f t="shared" si="2"/>
        <v>364944.8333333334</v>
      </c>
      <c r="J36" s="11">
        <f>H36/5</f>
        <v>18823.2</v>
      </c>
      <c r="K36" s="42">
        <v>4170</v>
      </c>
      <c r="L36" s="42">
        <v>1027</v>
      </c>
      <c r="M36" s="43">
        <v>414</v>
      </c>
    </row>
    <row r="37" spans="1:13" ht="18" hidden="1">
      <c r="A37" s="7">
        <v>40878</v>
      </c>
      <c r="B37" s="37">
        <f t="shared" si="7"/>
        <v>91812.16666666667</v>
      </c>
      <c r="C37" s="33">
        <f t="shared" si="8"/>
        <v>550873</v>
      </c>
      <c r="D37" s="33">
        <v>0</v>
      </c>
      <c r="E37" s="33">
        <v>21933</v>
      </c>
      <c r="F37" s="33">
        <v>0</v>
      </c>
      <c r="G37" s="33">
        <f t="shared" si="10"/>
        <v>21933</v>
      </c>
      <c r="H37" s="33">
        <f t="shared" si="9"/>
        <v>116049</v>
      </c>
      <c r="I37" s="33">
        <f t="shared" si="2"/>
        <v>434824</v>
      </c>
      <c r="J37" s="11">
        <f>H37/6</f>
        <v>19341.5</v>
      </c>
      <c r="K37" s="42">
        <v>4164</v>
      </c>
      <c r="L37" s="42">
        <v>1051</v>
      </c>
      <c r="M37" s="43">
        <v>412</v>
      </c>
    </row>
    <row r="38" spans="1:13" ht="18" hidden="1">
      <c r="A38" s="7">
        <v>40909</v>
      </c>
      <c r="B38" s="37">
        <f t="shared" si="7"/>
        <v>91812.16666666667</v>
      </c>
      <c r="C38" s="33">
        <f t="shared" si="8"/>
        <v>642685.1666666666</v>
      </c>
      <c r="D38" s="33">
        <v>50</v>
      </c>
      <c r="E38" s="33">
        <v>22010</v>
      </c>
      <c r="F38" s="33">
        <v>0</v>
      </c>
      <c r="G38" s="33">
        <f t="shared" si="10"/>
        <v>22060</v>
      </c>
      <c r="H38" s="33">
        <f t="shared" si="9"/>
        <v>138109</v>
      </c>
      <c r="I38" s="33">
        <f t="shared" si="2"/>
        <v>504576.1666666666</v>
      </c>
      <c r="J38" s="11">
        <f>H38/7</f>
        <v>19729.85714285714</v>
      </c>
      <c r="K38" s="42">
        <v>4445</v>
      </c>
      <c r="L38" s="42">
        <v>1120</v>
      </c>
      <c r="M38" s="43">
        <v>390</v>
      </c>
    </row>
    <row r="39" spans="1:13" ht="18" hidden="1">
      <c r="A39" s="7">
        <v>40940</v>
      </c>
      <c r="B39" s="37">
        <f t="shared" si="7"/>
        <v>91812.16666666667</v>
      </c>
      <c r="C39" s="33">
        <f t="shared" si="8"/>
        <v>734497.3333333333</v>
      </c>
      <c r="D39" s="33">
        <v>50</v>
      </c>
      <c r="E39" s="33">
        <v>11218</v>
      </c>
      <c r="F39" s="33">
        <v>0</v>
      </c>
      <c r="G39" s="33">
        <f t="shared" si="10"/>
        <v>11268</v>
      </c>
      <c r="H39" s="33">
        <f t="shared" si="9"/>
        <v>149377</v>
      </c>
      <c r="I39" s="33">
        <f t="shared" si="2"/>
        <v>585120.3333333333</v>
      </c>
      <c r="J39" s="11">
        <f>H39/8</f>
        <v>18672.125</v>
      </c>
      <c r="K39" s="42">
        <v>4368</v>
      </c>
      <c r="L39" s="42">
        <v>1156</v>
      </c>
      <c r="M39" s="43">
        <v>407</v>
      </c>
    </row>
    <row r="40" spans="1:13" ht="18" hidden="1">
      <c r="A40" s="7">
        <v>40969</v>
      </c>
      <c r="B40" s="37">
        <f t="shared" si="7"/>
        <v>91812.16666666667</v>
      </c>
      <c r="C40" s="33">
        <f t="shared" si="8"/>
        <v>826309.4999999999</v>
      </c>
      <c r="D40" s="33">
        <v>150</v>
      </c>
      <c r="E40" s="33">
        <v>28047</v>
      </c>
      <c r="F40" s="33">
        <v>0</v>
      </c>
      <c r="G40" s="33">
        <f t="shared" si="10"/>
        <v>28197</v>
      </c>
      <c r="H40" s="33">
        <f t="shared" si="9"/>
        <v>177574</v>
      </c>
      <c r="I40" s="33">
        <f aca="true" t="shared" si="11" ref="I40:I59">C40-H40</f>
        <v>648735.4999999999</v>
      </c>
      <c r="J40" s="11">
        <f>H40/9</f>
        <v>19730.444444444445</v>
      </c>
      <c r="K40" s="42">
        <v>4344</v>
      </c>
      <c r="L40" s="42">
        <v>1220</v>
      </c>
      <c r="M40" s="43">
        <v>403</v>
      </c>
    </row>
    <row r="41" spans="1:13" ht="18" hidden="1">
      <c r="A41" s="7">
        <v>41000</v>
      </c>
      <c r="B41" s="37">
        <f t="shared" si="7"/>
        <v>91812.16666666667</v>
      </c>
      <c r="C41" s="33">
        <f t="shared" si="8"/>
        <v>918121.6666666665</v>
      </c>
      <c r="D41" s="33">
        <v>25</v>
      </c>
      <c r="E41" s="33">
        <v>27974</v>
      </c>
      <c r="F41" s="33">
        <v>0</v>
      </c>
      <c r="G41" s="33">
        <f t="shared" si="10"/>
        <v>27999</v>
      </c>
      <c r="H41" s="33">
        <f t="shared" si="9"/>
        <v>205573</v>
      </c>
      <c r="I41" s="33">
        <f t="shared" si="11"/>
        <v>712548.6666666665</v>
      </c>
      <c r="J41" s="11">
        <f>H41/10</f>
        <v>20557.3</v>
      </c>
      <c r="K41" s="42">
        <v>4617</v>
      </c>
      <c r="L41" s="42">
        <v>887</v>
      </c>
      <c r="M41" s="43">
        <v>319</v>
      </c>
    </row>
    <row r="42" spans="1:13" ht="18" hidden="1">
      <c r="A42" s="7">
        <v>41030</v>
      </c>
      <c r="B42" s="37">
        <f t="shared" si="7"/>
        <v>91812.16666666667</v>
      </c>
      <c r="C42" s="33">
        <f t="shared" si="8"/>
        <v>1009933.8333333331</v>
      </c>
      <c r="D42" s="33">
        <v>0</v>
      </c>
      <c r="E42" s="33">
        <v>21786</v>
      </c>
      <c r="F42" s="33">
        <v>0</v>
      </c>
      <c r="G42" s="33">
        <f t="shared" si="10"/>
        <v>21786</v>
      </c>
      <c r="H42" s="33">
        <f t="shared" si="9"/>
        <v>227359</v>
      </c>
      <c r="I42" s="33">
        <f t="shared" si="11"/>
        <v>782574.8333333331</v>
      </c>
      <c r="J42" s="11">
        <f>H42/11</f>
        <v>20669</v>
      </c>
      <c r="K42" s="42">
        <v>4034</v>
      </c>
      <c r="L42" s="42">
        <v>887</v>
      </c>
      <c r="M42" s="43">
        <v>0</v>
      </c>
    </row>
    <row r="43" spans="1:13" ht="18.75" hidden="1" thickBot="1">
      <c r="A43" s="7">
        <v>41061</v>
      </c>
      <c r="B43" s="39">
        <f t="shared" si="7"/>
        <v>91812.16666666667</v>
      </c>
      <c r="C43" s="34">
        <f t="shared" si="8"/>
        <v>1101745.9999999998</v>
      </c>
      <c r="D43" s="34">
        <v>0</v>
      </c>
      <c r="E43" s="34">
        <v>31375</v>
      </c>
      <c r="F43" s="34">
        <v>0</v>
      </c>
      <c r="G43" s="34">
        <f t="shared" si="10"/>
        <v>31375</v>
      </c>
      <c r="H43" s="34">
        <f t="shared" si="9"/>
        <v>258734</v>
      </c>
      <c r="I43" s="34">
        <f t="shared" si="11"/>
        <v>843011.9999999998</v>
      </c>
      <c r="J43" s="12">
        <f>H43/12</f>
        <v>21561.166666666668</v>
      </c>
      <c r="K43" s="40">
        <v>3967</v>
      </c>
      <c r="L43" s="40">
        <v>798</v>
      </c>
      <c r="M43" s="41">
        <v>0</v>
      </c>
    </row>
    <row r="44" spans="1:13" ht="15" hidden="1">
      <c r="A44" s="7">
        <v>41091</v>
      </c>
      <c r="B44" s="37">
        <f aca="true" t="shared" si="12" ref="B44:B55">$B$86/12</f>
        <v>166194.91666666666</v>
      </c>
      <c r="C44" s="33">
        <f>B44</f>
        <v>166194.91666666666</v>
      </c>
      <c r="D44" s="33">
        <v>75</v>
      </c>
      <c r="E44" s="33">
        <v>34233</v>
      </c>
      <c r="F44" s="33">
        <v>0</v>
      </c>
      <c r="G44" s="33">
        <f t="shared" si="10"/>
        <v>34308</v>
      </c>
      <c r="H44" s="33">
        <f>G44</f>
        <v>34308</v>
      </c>
      <c r="I44" s="33">
        <f t="shared" si="11"/>
        <v>131886.91666666666</v>
      </c>
      <c r="J44" s="33">
        <f>H44/1</f>
        <v>34308</v>
      </c>
      <c r="K44" s="42">
        <v>3978</v>
      </c>
      <c r="L44" s="42">
        <v>660</v>
      </c>
      <c r="M44" s="43"/>
    </row>
    <row r="45" spans="1:13" ht="15" hidden="1">
      <c r="A45" s="7">
        <v>41122</v>
      </c>
      <c r="B45" s="37">
        <f t="shared" si="12"/>
        <v>166194.91666666666</v>
      </c>
      <c r="C45" s="33">
        <f aca="true" t="shared" si="13" ref="C45:C55">C44+B45</f>
        <v>332389.8333333333</v>
      </c>
      <c r="D45" s="33">
        <v>0</v>
      </c>
      <c r="E45" s="33">
        <v>41351</v>
      </c>
      <c r="F45" s="33">
        <v>0</v>
      </c>
      <c r="G45" s="33">
        <f t="shared" si="10"/>
        <v>41351</v>
      </c>
      <c r="H45" s="33">
        <f aca="true" t="shared" si="14" ref="H45:H55">H44+G45</f>
        <v>75659</v>
      </c>
      <c r="I45" s="33">
        <f t="shared" si="11"/>
        <v>256730.8333333333</v>
      </c>
      <c r="J45" s="33">
        <f>H45/2</f>
        <v>37829.5</v>
      </c>
      <c r="K45" s="42">
        <v>4017</v>
      </c>
      <c r="L45" s="42">
        <v>713</v>
      </c>
      <c r="M45" s="43"/>
    </row>
    <row r="46" spans="1:13" ht="15" hidden="1">
      <c r="A46" s="7">
        <v>41153</v>
      </c>
      <c r="B46" s="37">
        <f t="shared" si="12"/>
        <v>166194.91666666666</v>
      </c>
      <c r="C46" s="33">
        <f t="shared" si="13"/>
        <v>498584.75</v>
      </c>
      <c r="D46" s="33">
        <v>0</v>
      </c>
      <c r="E46" s="33">
        <v>34661</v>
      </c>
      <c r="F46" s="33">
        <v>0</v>
      </c>
      <c r="G46" s="33">
        <f t="shared" si="10"/>
        <v>34661</v>
      </c>
      <c r="H46" s="33">
        <f t="shared" si="14"/>
        <v>110320</v>
      </c>
      <c r="I46" s="33">
        <f t="shared" si="11"/>
        <v>388264.75</v>
      </c>
      <c r="J46" s="33">
        <f>H46/3</f>
        <v>36773.333333333336</v>
      </c>
      <c r="K46" s="42">
        <v>3979</v>
      </c>
      <c r="L46" s="42">
        <v>825</v>
      </c>
      <c r="M46" s="43"/>
    </row>
    <row r="47" spans="1:13" ht="15" hidden="1">
      <c r="A47" s="7">
        <v>41183</v>
      </c>
      <c r="B47" s="37">
        <f t="shared" si="12"/>
        <v>166194.91666666666</v>
      </c>
      <c r="C47" s="33">
        <f t="shared" si="13"/>
        <v>664779.6666666666</v>
      </c>
      <c r="D47" s="33">
        <v>0</v>
      </c>
      <c r="E47" s="33">
        <v>45939</v>
      </c>
      <c r="F47" s="33">
        <v>0</v>
      </c>
      <c r="G47" s="33">
        <f t="shared" si="10"/>
        <v>45939</v>
      </c>
      <c r="H47" s="33">
        <f t="shared" si="14"/>
        <v>156259</v>
      </c>
      <c r="I47" s="33">
        <f t="shared" si="11"/>
        <v>508520.6666666666</v>
      </c>
      <c r="J47" s="33">
        <f>H47/4</f>
        <v>39064.75</v>
      </c>
      <c r="K47" s="42">
        <v>3956</v>
      </c>
      <c r="L47" s="42">
        <v>755</v>
      </c>
      <c r="M47" s="43"/>
    </row>
    <row r="48" spans="1:13" ht="15" hidden="1">
      <c r="A48" s="7">
        <v>41214</v>
      </c>
      <c r="B48" s="37">
        <f t="shared" si="12"/>
        <v>166194.91666666666</v>
      </c>
      <c r="C48" s="33">
        <f t="shared" si="13"/>
        <v>830974.5833333333</v>
      </c>
      <c r="D48" s="33">
        <v>0</v>
      </c>
      <c r="E48" s="33">
        <v>47407</v>
      </c>
      <c r="F48" s="33">
        <v>0</v>
      </c>
      <c r="G48" s="33">
        <f t="shared" si="10"/>
        <v>47407</v>
      </c>
      <c r="H48" s="33">
        <f t="shared" si="14"/>
        <v>203666</v>
      </c>
      <c r="I48" s="33">
        <f t="shared" si="11"/>
        <v>627308.5833333333</v>
      </c>
      <c r="J48" s="33">
        <f>H48/5</f>
        <v>40733.2</v>
      </c>
      <c r="K48" s="42">
        <v>3910</v>
      </c>
      <c r="L48" s="42">
        <v>777</v>
      </c>
      <c r="M48" s="43"/>
    </row>
    <row r="49" spans="1:13" ht="15" hidden="1">
      <c r="A49" s="7">
        <v>41244</v>
      </c>
      <c r="B49" s="37">
        <f t="shared" si="12"/>
        <v>166194.91666666666</v>
      </c>
      <c r="C49" s="33">
        <f t="shared" si="13"/>
        <v>997169.4999999999</v>
      </c>
      <c r="D49" s="33">
        <v>110</v>
      </c>
      <c r="E49" s="33">
        <v>49290</v>
      </c>
      <c r="F49" s="33">
        <v>0</v>
      </c>
      <c r="G49" s="33">
        <f t="shared" si="10"/>
        <v>49400</v>
      </c>
      <c r="H49" s="33">
        <f t="shared" si="14"/>
        <v>253066</v>
      </c>
      <c r="I49" s="33">
        <f t="shared" si="11"/>
        <v>744103.4999999999</v>
      </c>
      <c r="J49" s="33">
        <f>H49/6</f>
        <v>42177.666666666664</v>
      </c>
      <c r="K49" s="42"/>
      <c r="L49" s="42"/>
      <c r="M49" s="43"/>
    </row>
    <row r="50" spans="1:13" ht="15" hidden="1">
      <c r="A50" s="7">
        <v>41275</v>
      </c>
      <c r="B50" s="37">
        <f t="shared" si="12"/>
        <v>166194.91666666666</v>
      </c>
      <c r="C50" s="33">
        <f t="shared" si="13"/>
        <v>1163364.4166666665</v>
      </c>
      <c r="D50" s="33">
        <v>50</v>
      </c>
      <c r="E50" s="33">
        <v>45773</v>
      </c>
      <c r="F50" s="33">
        <v>0</v>
      </c>
      <c r="G50" s="33">
        <f t="shared" si="10"/>
        <v>45823</v>
      </c>
      <c r="H50" s="33">
        <f t="shared" si="14"/>
        <v>298889</v>
      </c>
      <c r="I50" s="33">
        <f t="shared" si="11"/>
        <v>864475.4166666665</v>
      </c>
      <c r="J50" s="33">
        <f>H50/7</f>
        <v>42698.42857142857</v>
      </c>
      <c r="K50" s="42"/>
      <c r="L50" s="42"/>
      <c r="M50" s="43"/>
    </row>
    <row r="51" spans="1:13" ht="15" hidden="1">
      <c r="A51" s="7">
        <v>41306</v>
      </c>
      <c r="B51" s="37">
        <f t="shared" si="12"/>
        <v>166194.91666666666</v>
      </c>
      <c r="C51" s="33">
        <f t="shared" si="13"/>
        <v>1329559.3333333333</v>
      </c>
      <c r="D51" s="33">
        <v>110</v>
      </c>
      <c r="E51" s="33">
        <v>51604</v>
      </c>
      <c r="F51" s="33">
        <v>0</v>
      </c>
      <c r="G51" s="33">
        <f t="shared" si="10"/>
        <v>51714</v>
      </c>
      <c r="H51" s="33">
        <f t="shared" si="14"/>
        <v>350603</v>
      </c>
      <c r="I51" s="33">
        <f t="shared" si="11"/>
        <v>978956.3333333333</v>
      </c>
      <c r="J51" s="33">
        <f>H51/8</f>
        <v>43825.375</v>
      </c>
      <c r="K51" s="42"/>
      <c r="L51" s="42"/>
      <c r="M51" s="43"/>
    </row>
    <row r="52" spans="1:13" ht="15" hidden="1">
      <c r="A52" s="7">
        <v>41334</v>
      </c>
      <c r="B52" s="37">
        <f t="shared" si="12"/>
        <v>166194.91666666666</v>
      </c>
      <c r="C52" s="33">
        <f t="shared" si="13"/>
        <v>1495754.25</v>
      </c>
      <c r="D52" s="33">
        <v>0</v>
      </c>
      <c r="E52" s="33">
        <v>57035</v>
      </c>
      <c r="F52" s="33">
        <v>0</v>
      </c>
      <c r="G52" s="33">
        <f t="shared" si="10"/>
        <v>57035</v>
      </c>
      <c r="H52" s="33">
        <f t="shared" si="14"/>
        <v>407638</v>
      </c>
      <c r="I52" s="33">
        <f t="shared" si="11"/>
        <v>1088116.25</v>
      </c>
      <c r="J52" s="33">
        <f>H52/9</f>
        <v>45293.11111111111</v>
      </c>
      <c r="K52" s="42"/>
      <c r="L52" s="42"/>
      <c r="M52" s="43"/>
    </row>
    <row r="53" spans="1:13" ht="15" hidden="1">
      <c r="A53" s="7">
        <v>41365</v>
      </c>
      <c r="B53" s="37">
        <f t="shared" si="12"/>
        <v>166194.91666666666</v>
      </c>
      <c r="C53" s="33">
        <f t="shared" si="13"/>
        <v>1661949.1666666667</v>
      </c>
      <c r="D53" s="33">
        <v>60</v>
      </c>
      <c r="E53" s="33">
        <v>65980</v>
      </c>
      <c r="F53" s="33">
        <v>0</v>
      </c>
      <c r="G53" s="33">
        <f t="shared" si="10"/>
        <v>66040</v>
      </c>
      <c r="H53" s="33">
        <f t="shared" si="14"/>
        <v>473678</v>
      </c>
      <c r="I53" s="33">
        <f t="shared" si="11"/>
        <v>1188271.1666666667</v>
      </c>
      <c r="J53" s="33">
        <f>H53/10</f>
        <v>47367.8</v>
      </c>
      <c r="K53" s="42"/>
      <c r="L53" s="42"/>
      <c r="M53" s="43"/>
    </row>
    <row r="54" spans="1:13" ht="15" hidden="1">
      <c r="A54" s="7">
        <v>41395</v>
      </c>
      <c r="B54" s="37">
        <f t="shared" si="12"/>
        <v>166194.91666666666</v>
      </c>
      <c r="C54" s="33">
        <f t="shared" si="13"/>
        <v>1828144.0833333335</v>
      </c>
      <c r="D54" s="33">
        <v>0</v>
      </c>
      <c r="E54" s="33">
        <v>58122</v>
      </c>
      <c r="F54" s="33">
        <v>0</v>
      </c>
      <c r="G54" s="33">
        <f t="shared" si="10"/>
        <v>58122</v>
      </c>
      <c r="H54" s="33">
        <f t="shared" si="14"/>
        <v>531800</v>
      </c>
      <c r="I54" s="33">
        <f t="shared" si="11"/>
        <v>1296344.0833333335</v>
      </c>
      <c r="J54" s="33">
        <f>H54/11</f>
        <v>48345.454545454544</v>
      </c>
      <c r="K54" s="42"/>
      <c r="L54" s="42"/>
      <c r="M54" s="43"/>
    </row>
    <row r="55" spans="1:13" ht="15.75" hidden="1" thickBot="1">
      <c r="A55" s="7">
        <v>41426</v>
      </c>
      <c r="B55" s="39">
        <f t="shared" si="12"/>
        <v>166194.91666666666</v>
      </c>
      <c r="C55" s="34">
        <f t="shared" si="13"/>
        <v>1994339.0000000002</v>
      </c>
      <c r="D55" s="34">
        <v>0</v>
      </c>
      <c r="E55" s="34">
        <v>61684</v>
      </c>
      <c r="F55" s="34">
        <v>0</v>
      </c>
      <c r="G55" s="34">
        <f t="shared" si="10"/>
        <v>61684</v>
      </c>
      <c r="H55" s="34">
        <f t="shared" si="14"/>
        <v>593484</v>
      </c>
      <c r="I55" s="34">
        <f t="shared" si="11"/>
        <v>1400855.0000000002</v>
      </c>
      <c r="J55" s="34">
        <f>H55/12</f>
        <v>49457</v>
      </c>
      <c r="K55" s="40"/>
      <c r="L55" s="40"/>
      <c r="M55" s="41"/>
    </row>
    <row r="56" spans="1:13" ht="18" hidden="1">
      <c r="A56" s="7">
        <v>41456</v>
      </c>
      <c r="B56" s="15">
        <f>$B$91/24</f>
        <v>106569.20833333333</v>
      </c>
      <c r="C56" s="11">
        <f>B56</f>
        <v>106569.20833333333</v>
      </c>
      <c r="D56" s="33">
        <v>150</v>
      </c>
      <c r="E56" s="33">
        <v>63523</v>
      </c>
      <c r="F56" s="33">
        <v>0</v>
      </c>
      <c r="G56" s="33">
        <f t="shared" si="10"/>
        <v>63673</v>
      </c>
      <c r="H56" s="33">
        <f>G56</f>
        <v>63673</v>
      </c>
      <c r="I56" s="33">
        <f t="shared" si="11"/>
        <v>42896.20833333333</v>
      </c>
      <c r="J56" s="33">
        <f>H56</f>
        <v>63673</v>
      </c>
      <c r="K56" s="42">
        <v>3133</v>
      </c>
      <c r="L56" s="42">
        <v>756</v>
      </c>
      <c r="M56" s="43"/>
    </row>
    <row r="57" spans="1:13" ht="18" hidden="1">
      <c r="A57" s="7">
        <v>41487</v>
      </c>
      <c r="B57" s="15">
        <f aca="true" t="shared" si="15" ref="B57:B79">$B$91/24</f>
        <v>106569.20833333333</v>
      </c>
      <c r="C57" s="11">
        <f aca="true" t="shared" si="16" ref="C57:C79">C56+B57</f>
        <v>213138.41666666666</v>
      </c>
      <c r="D57" s="33">
        <v>0</v>
      </c>
      <c r="E57" s="33">
        <v>74620</v>
      </c>
      <c r="F57" s="33">
        <v>0</v>
      </c>
      <c r="G57" s="33">
        <f t="shared" si="10"/>
        <v>74620</v>
      </c>
      <c r="H57" s="33">
        <f aca="true" t="shared" si="17" ref="H57:H62">G57+H56</f>
        <v>138293</v>
      </c>
      <c r="I57" s="33">
        <f t="shared" si="11"/>
        <v>74845.41666666666</v>
      </c>
      <c r="J57" s="33">
        <f>H57/2</f>
        <v>69146.5</v>
      </c>
      <c r="K57" s="42">
        <v>3136</v>
      </c>
      <c r="L57" s="42">
        <v>945</v>
      </c>
      <c r="M57" s="43"/>
    </row>
    <row r="58" spans="1:13" ht="18" hidden="1">
      <c r="A58" s="7">
        <v>41518</v>
      </c>
      <c r="B58" s="15">
        <f t="shared" si="15"/>
        <v>106569.20833333333</v>
      </c>
      <c r="C58" s="11">
        <f t="shared" si="16"/>
        <v>319707.625</v>
      </c>
      <c r="D58" s="33">
        <v>200</v>
      </c>
      <c r="E58" s="33">
        <v>58011</v>
      </c>
      <c r="F58" s="33">
        <v>0</v>
      </c>
      <c r="G58" s="33">
        <f t="shared" si="10"/>
        <v>58211</v>
      </c>
      <c r="H58" s="33">
        <f t="shared" si="17"/>
        <v>196504</v>
      </c>
      <c r="I58" s="33">
        <f t="shared" si="11"/>
        <v>123203.625</v>
      </c>
      <c r="J58" s="33">
        <f>H58/3</f>
        <v>65501.333333333336</v>
      </c>
      <c r="K58" s="42">
        <v>3128</v>
      </c>
      <c r="L58" s="42">
        <v>819</v>
      </c>
      <c r="M58" s="43"/>
    </row>
    <row r="59" spans="1:13" ht="18" hidden="1">
      <c r="A59" s="7">
        <v>41548</v>
      </c>
      <c r="B59" s="15">
        <f t="shared" si="15"/>
        <v>106569.20833333333</v>
      </c>
      <c r="C59" s="11">
        <f t="shared" si="16"/>
        <v>426276.8333333333</v>
      </c>
      <c r="D59" s="33">
        <v>130</v>
      </c>
      <c r="E59" s="33">
        <v>47024.74</v>
      </c>
      <c r="F59" s="33">
        <v>0</v>
      </c>
      <c r="G59" s="33">
        <f t="shared" si="10"/>
        <v>47154.74</v>
      </c>
      <c r="H59" s="33">
        <f t="shared" si="17"/>
        <v>243658.74</v>
      </c>
      <c r="I59" s="33">
        <f t="shared" si="11"/>
        <v>182618.09333333332</v>
      </c>
      <c r="J59" s="33">
        <f>H59/4</f>
        <v>60914.685</v>
      </c>
      <c r="K59" s="42">
        <v>3097</v>
      </c>
      <c r="L59" s="42">
        <v>988</v>
      </c>
      <c r="M59" s="43"/>
    </row>
    <row r="60" spans="1:13" ht="18" hidden="1">
      <c r="A60" s="7">
        <v>41579</v>
      </c>
      <c r="B60" s="15">
        <f t="shared" si="15"/>
        <v>106569.20833333333</v>
      </c>
      <c r="C60" s="11">
        <f t="shared" si="16"/>
        <v>532846.0416666666</v>
      </c>
      <c r="D60" s="33">
        <v>50</v>
      </c>
      <c r="E60" s="33">
        <v>56421.3</v>
      </c>
      <c r="F60" s="33">
        <v>0</v>
      </c>
      <c r="G60" s="33">
        <f t="shared" si="10"/>
        <v>56471.3</v>
      </c>
      <c r="H60" s="33">
        <f t="shared" si="17"/>
        <v>300130.04</v>
      </c>
      <c r="I60" s="33">
        <f aca="true" t="shared" si="18" ref="I60:I65">C60-H60</f>
        <v>232716.00166666665</v>
      </c>
      <c r="J60" s="33">
        <f>H60/5</f>
        <v>60026.007999999994</v>
      </c>
      <c r="K60" s="42">
        <v>3097</v>
      </c>
      <c r="L60" s="42">
        <v>964</v>
      </c>
      <c r="M60" s="43"/>
    </row>
    <row r="61" spans="1:13" ht="18" hidden="1">
      <c r="A61" s="7">
        <v>41609</v>
      </c>
      <c r="B61" s="15">
        <f t="shared" si="15"/>
        <v>106569.20833333333</v>
      </c>
      <c r="C61" s="11">
        <f t="shared" si="16"/>
        <v>639415.25</v>
      </c>
      <c r="D61" s="33">
        <v>0</v>
      </c>
      <c r="E61" s="33">
        <v>44268.04</v>
      </c>
      <c r="F61" s="33">
        <v>0</v>
      </c>
      <c r="G61" s="33">
        <f t="shared" si="10"/>
        <v>44268.04</v>
      </c>
      <c r="H61" s="33">
        <f t="shared" si="17"/>
        <v>344398.07999999996</v>
      </c>
      <c r="I61" s="33">
        <f t="shared" si="18"/>
        <v>295017.17000000004</v>
      </c>
      <c r="J61" s="33">
        <f>H61/6</f>
        <v>57399.67999999999</v>
      </c>
      <c r="K61" s="42">
        <v>3064</v>
      </c>
      <c r="L61" s="42">
        <v>796</v>
      </c>
      <c r="M61" s="43"/>
    </row>
    <row r="62" spans="1:13" ht="18" hidden="1">
      <c r="A62" s="7">
        <v>41640</v>
      </c>
      <c r="B62" s="15">
        <f t="shared" si="15"/>
        <v>106569.20833333333</v>
      </c>
      <c r="C62" s="11">
        <f t="shared" si="16"/>
        <v>745984.4583333334</v>
      </c>
      <c r="D62" s="33">
        <v>0</v>
      </c>
      <c r="E62" s="33">
        <v>58081.22</v>
      </c>
      <c r="F62" s="33">
        <v>0</v>
      </c>
      <c r="G62" s="33">
        <f t="shared" si="10"/>
        <v>58081.22</v>
      </c>
      <c r="H62" s="33">
        <f t="shared" si="17"/>
        <v>402479.29999999993</v>
      </c>
      <c r="I62" s="33">
        <f t="shared" si="18"/>
        <v>343505.15833333344</v>
      </c>
      <c r="J62" s="33">
        <f>H62/7</f>
        <v>57497.04285714285</v>
      </c>
      <c r="K62" s="42">
        <v>3042</v>
      </c>
      <c r="L62" s="42">
        <v>820</v>
      </c>
      <c r="M62" s="43"/>
    </row>
    <row r="63" spans="1:13" ht="18" hidden="1">
      <c r="A63" s="7">
        <v>41671</v>
      </c>
      <c r="B63" s="15">
        <f t="shared" si="15"/>
        <v>106569.20833333333</v>
      </c>
      <c r="C63" s="11">
        <f t="shared" si="16"/>
        <v>852553.6666666667</v>
      </c>
      <c r="D63" s="33">
        <v>50</v>
      </c>
      <c r="E63" s="33">
        <v>61913.56</v>
      </c>
      <c r="F63" s="33">
        <v>0</v>
      </c>
      <c r="G63" s="33">
        <f t="shared" si="10"/>
        <v>61963.56</v>
      </c>
      <c r="H63" s="33">
        <f aca="true" t="shared" si="19" ref="H63:H68">G63+H62</f>
        <v>464442.8599999999</v>
      </c>
      <c r="I63" s="33">
        <f t="shared" si="18"/>
        <v>388110.8066666668</v>
      </c>
      <c r="J63" s="33">
        <f>H63/8</f>
        <v>58055.35749999999</v>
      </c>
      <c r="K63" s="42">
        <v>3005</v>
      </c>
      <c r="L63" s="42">
        <v>906</v>
      </c>
      <c r="M63" s="43"/>
    </row>
    <row r="64" spans="1:13" ht="18" hidden="1">
      <c r="A64" s="7">
        <v>41699</v>
      </c>
      <c r="B64" s="15">
        <f t="shared" si="15"/>
        <v>106569.20833333333</v>
      </c>
      <c r="C64" s="11">
        <f t="shared" si="16"/>
        <v>959122.8750000001</v>
      </c>
      <c r="D64" s="33">
        <v>0</v>
      </c>
      <c r="E64" s="33">
        <v>64986.33</v>
      </c>
      <c r="F64" s="33">
        <v>0</v>
      </c>
      <c r="G64" s="33">
        <f t="shared" si="10"/>
        <v>64986.33</v>
      </c>
      <c r="H64" s="33">
        <f t="shared" si="19"/>
        <v>529429.19</v>
      </c>
      <c r="I64" s="33">
        <f t="shared" si="18"/>
        <v>429693.6850000002</v>
      </c>
      <c r="J64" s="33">
        <f>H64/9</f>
        <v>58825.46555555555</v>
      </c>
      <c r="K64" s="42">
        <v>2942</v>
      </c>
      <c r="L64" s="42">
        <v>1013</v>
      </c>
      <c r="M64" s="43"/>
    </row>
    <row r="65" spans="1:13" ht="18" hidden="1">
      <c r="A65" s="7">
        <v>41730</v>
      </c>
      <c r="B65" s="15">
        <f t="shared" si="15"/>
        <v>106569.20833333333</v>
      </c>
      <c r="C65" s="11">
        <f t="shared" si="16"/>
        <v>1065692.0833333335</v>
      </c>
      <c r="D65" s="33">
        <v>25</v>
      </c>
      <c r="E65" s="33">
        <v>70973.5</v>
      </c>
      <c r="F65" s="33">
        <v>0</v>
      </c>
      <c r="G65" s="33">
        <f t="shared" si="10"/>
        <v>70998.5</v>
      </c>
      <c r="H65" s="33">
        <f t="shared" si="19"/>
        <v>600427.69</v>
      </c>
      <c r="I65" s="33">
        <f t="shared" si="18"/>
        <v>465264.39333333354</v>
      </c>
      <c r="J65" s="33">
        <f>H65/10</f>
        <v>60042.76899999999</v>
      </c>
      <c r="K65" s="42">
        <v>2903</v>
      </c>
      <c r="L65" s="42">
        <v>1012</v>
      </c>
      <c r="M65" s="43"/>
    </row>
    <row r="66" spans="1:13" ht="18" hidden="1">
      <c r="A66" s="7">
        <v>41760</v>
      </c>
      <c r="B66" s="15">
        <f t="shared" si="15"/>
        <v>106569.20833333333</v>
      </c>
      <c r="C66" s="11">
        <f t="shared" si="16"/>
        <v>1172261.2916666667</v>
      </c>
      <c r="D66" s="33">
        <v>100</v>
      </c>
      <c r="E66" s="33">
        <v>70739.41</v>
      </c>
      <c r="F66" s="33">
        <v>0</v>
      </c>
      <c r="G66" s="33">
        <f t="shared" si="10"/>
        <v>70839.41</v>
      </c>
      <c r="H66" s="33">
        <f t="shared" si="19"/>
        <v>671267.1</v>
      </c>
      <c r="I66" s="33">
        <f aca="true" t="shared" si="20" ref="I66:I71">C66-H66</f>
        <v>500994.19166666677</v>
      </c>
      <c r="J66" s="33">
        <f>H66/11</f>
        <v>61024.281818181815</v>
      </c>
      <c r="K66" s="42">
        <v>2776</v>
      </c>
      <c r="L66" s="42">
        <v>1319</v>
      </c>
      <c r="M66" s="43"/>
    </row>
    <row r="67" spans="1:13" ht="18" hidden="1">
      <c r="A67" s="7">
        <v>41791</v>
      </c>
      <c r="B67" s="15">
        <f t="shared" si="15"/>
        <v>106569.20833333333</v>
      </c>
      <c r="C67" s="11">
        <f t="shared" si="16"/>
        <v>1278830.5</v>
      </c>
      <c r="D67" s="33">
        <v>0</v>
      </c>
      <c r="E67" s="33">
        <v>82413</v>
      </c>
      <c r="F67" s="33">
        <v>0</v>
      </c>
      <c r="G67" s="33">
        <f t="shared" si="10"/>
        <v>82413</v>
      </c>
      <c r="H67" s="33">
        <f t="shared" si="19"/>
        <v>753680.1</v>
      </c>
      <c r="I67" s="33">
        <f t="shared" si="20"/>
        <v>525150.4</v>
      </c>
      <c r="J67" s="33">
        <f>H67/12</f>
        <v>62806.674999999996</v>
      </c>
      <c r="K67" s="42">
        <v>2655</v>
      </c>
      <c r="L67" s="42">
        <v>1723</v>
      </c>
      <c r="M67" s="43"/>
    </row>
    <row r="68" spans="1:13" ht="18">
      <c r="A68" s="7">
        <v>41821</v>
      </c>
      <c r="B68" s="15">
        <f t="shared" si="15"/>
        <v>106569.20833333333</v>
      </c>
      <c r="C68" s="11">
        <f t="shared" si="16"/>
        <v>1385399.7083333333</v>
      </c>
      <c r="D68" s="33">
        <v>0</v>
      </c>
      <c r="E68" s="33">
        <v>89064</v>
      </c>
      <c r="F68" s="33">
        <v>0</v>
      </c>
      <c r="G68" s="33">
        <f aca="true" t="shared" si="21" ref="G68:G74">D68+E68+F68</f>
        <v>89064</v>
      </c>
      <c r="H68" s="33">
        <f t="shared" si="19"/>
        <v>842744.1</v>
      </c>
      <c r="I68" s="33">
        <f t="shared" si="20"/>
        <v>542655.6083333333</v>
      </c>
      <c r="J68" s="33">
        <f>H68/13</f>
        <v>64826.46923076923</v>
      </c>
      <c r="K68" s="42">
        <v>2502</v>
      </c>
      <c r="L68" s="42">
        <v>2000</v>
      </c>
      <c r="M68" s="43"/>
    </row>
    <row r="69" spans="1:13" ht="18">
      <c r="A69" s="7">
        <v>41852</v>
      </c>
      <c r="B69" s="15">
        <f t="shared" si="15"/>
        <v>106569.20833333333</v>
      </c>
      <c r="C69" s="11">
        <f t="shared" si="16"/>
        <v>1491968.9166666665</v>
      </c>
      <c r="D69" s="33">
        <v>0</v>
      </c>
      <c r="E69" s="33">
        <v>110387</v>
      </c>
      <c r="F69" s="33">
        <v>0</v>
      </c>
      <c r="G69" s="33">
        <f t="shared" si="21"/>
        <v>110387</v>
      </c>
      <c r="H69" s="33">
        <f aca="true" t="shared" si="22" ref="H69:H74">G69+H68</f>
        <v>953131.1</v>
      </c>
      <c r="I69" s="33">
        <f t="shared" si="20"/>
        <v>538837.8166666665</v>
      </c>
      <c r="J69" s="33">
        <f>H69/14</f>
        <v>68080.79285714285</v>
      </c>
      <c r="K69" s="42">
        <v>2373</v>
      </c>
      <c r="L69" s="42">
        <v>2336</v>
      </c>
      <c r="M69" s="43"/>
    </row>
    <row r="70" spans="1:13" ht="18">
      <c r="A70" s="7">
        <v>41883</v>
      </c>
      <c r="B70" s="15">
        <f t="shared" si="15"/>
        <v>106569.20833333333</v>
      </c>
      <c r="C70" s="11">
        <f t="shared" si="16"/>
        <v>1598538.1249999998</v>
      </c>
      <c r="D70" s="33">
        <v>0</v>
      </c>
      <c r="E70" s="33">
        <v>107819</v>
      </c>
      <c r="F70" s="33">
        <v>0</v>
      </c>
      <c r="G70" s="33">
        <f t="shared" si="21"/>
        <v>107819</v>
      </c>
      <c r="H70" s="33">
        <f t="shared" si="22"/>
        <v>1060950.1</v>
      </c>
      <c r="I70" s="33">
        <f t="shared" si="20"/>
        <v>537588.0249999997</v>
      </c>
      <c r="J70" s="33">
        <f>H70/15</f>
        <v>70730.00666666667</v>
      </c>
      <c r="K70" s="42">
        <v>2299</v>
      </c>
      <c r="L70" s="42">
        <v>2255</v>
      </c>
      <c r="M70" s="43"/>
    </row>
    <row r="71" spans="1:13" ht="18">
      <c r="A71" s="7">
        <v>41913</v>
      </c>
      <c r="B71" s="15">
        <f t="shared" si="15"/>
        <v>106569.20833333333</v>
      </c>
      <c r="C71" s="11">
        <f t="shared" si="16"/>
        <v>1705107.333333333</v>
      </c>
      <c r="D71" s="33">
        <v>0</v>
      </c>
      <c r="E71" s="33">
        <v>96563</v>
      </c>
      <c r="F71" s="33">
        <v>0</v>
      </c>
      <c r="G71" s="33">
        <f t="shared" si="21"/>
        <v>96563</v>
      </c>
      <c r="H71" s="33">
        <f t="shared" si="22"/>
        <v>1157513.1</v>
      </c>
      <c r="I71" s="33">
        <f t="shared" si="20"/>
        <v>547594.2333333329</v>
      </c>
      <c r="J71" s="33">
        <f>H71/16</f>
        <v>72344.56875</v>
      </c>
      <c r="K71" s="42">
        <v>2291</v>
      </c>
      <c r="L71" s="42">
        <v>2170</v>
      </c>
      <c r="M71" s="43"/>
    </row>
    <row r="72" spans="1:13" ht="18">
      <c r="A72" s="7">
        <v>41944</v>
      </c>
      <c r="B72" s="15">
        <f t="shared" si="15"/>
        <v>106569.20833333333</v>
      </c>
      <c r="C72" s="11">
        <f t="shared" si="16"/>
        <v>1811676.5416666663</v>
      </c>
      <c r="D72" s="33">
        <v>0</v>
      </c>
      <c r="E72" s="33">
        <v>80162</v>
      </c>
      <c r="F72" s="33">
        <v>0</v>
      </c>
      <c r="G72" s="33">
        <f t="shared" si="21"/>
        <v>80162</v>
      </c>
      <c r="H72" s="33">
        <f t="shared" si="22"/>
        <v>1237675.1</v>
      </c>
      <c r="I72" s="33">
        <f>C72-H72</f>
        <v>574001.4416666662</v>
      </c>
      <c r="J72" s="33">
        <f>H72/17</f>
        <v>72804.41764705883</v>
      </c>
      <c r="K72" s="42">
        <v>2227</v>
      </c>
      <c r="L72" s="42">
        <v>2285</v>
      </c>
      <c r="M72" s="43"/>
    </row>
    <row r="73" spans="1:13" ht="18">
      <c r="A73" s="7">
        <v>41974</v>
      </c>
      <c r="B73" s="15">
        <f t="shared" si="15"/>
        <v>106569.20833333333</v>
      </c>
      <c r="C73" s="11">
        <f t="shared" si="16"/>
        <v>1918245.7499999995</v>
      </c>
      <c r="D73" s="33">
        <v>0</v>
      </c>
      <c r="E73" s="33">
        <v>121827</v>
      </c>
      <c r="F73" s="33">
        <v>0</v>
      </c>
      <c r="G73" s="33">
        <f t="shared" si="21"/>
        <v>121827</v>
      </c>
      <c r="H73" s="33">
        <f t="shared" si="22"/>
        <v>1359502.1</v>
      </c>
      <c r="I73" s="33">
        <f>C73-H73</f>
        <v>558743.6499999994</v>
      </c>
      <c r="J73" s="33">
        <f>H73/18</f>
        <v>75527.89444444445</v>
      </c>
      <c r="K73" s="42">
        <v>2176</v>
      </c>
      <c r="L73" s="42">
        <v>2188</v>
      </c>
      <c r="M73" s="43"/>
    </row>
    <row r="74" spans="1:13" ht="18">
      <c r="A74" s="7">
        <v>42005</v>
      </c>
      <c r="B74" s="15">
        <f t="shared" si="15"/>
        <v>106569.20833333333</v>
      </c>
      <c r="C74" s="11">
        <f t="shared" si="16"/>
        <v>2024814.9583333328</v>
      </c>
      <c r="D74" s="33">
        <v>0</v>
      </c>
      <c r="E74" s="33">
        <v>112468</v>
      </c>
      <c r="F74" s="33">
        <v>0</v>
      </c>
      <c r="G74" s="33">
        <f t="shared" si="21"/>
        <v>112468</v>
      </c>
      <c r="H74" s="33">
        <f t="shared" si="22"/>
        <v>1471970.1</v>
      </c>
      <c r="I74" s="33">
        <f>C74-H74</f>
        <v>552844.8583333327</v>
      </c>
      <c r="J74" s="33">
        <f>H74/19</f>
        <v>77472.1105263158</v>
      </c>
      <c r="K74" s="42">
        <v>2200</v>
      </c>
      <c r="L74" s="42">
        <v>2349</v>
      </c>
      <c r="M74" s="43"/>
    </row>
    <row r="75" spans="1:13" ht="18">
      <c r="A75" s="7">
        <v>42036</v>
      </c>
      <c r="B75" s="15">
        <f t="shared" si="15"/>
        <v>106569.20833333333</v>
      </c>
      <c r="C75" s="11">
        <f t="shared" si="16"/>
        <v>2131384.166666666</v>
      </c>
      <c r="D75" s="33"/>
      <c r="E75" s="33"/>
      <c r="F75" s="33"/>
      <c r="G75" s="33"/>
      <c r="H75" s="33"/>
      <c r="I75" s="33"/>
      <c r="J75" s="33"/>
      <c r="K75" s="42"/>
      <c r="L75" s="42"/>
      <c r="M75" s="43"/>
    </row>
    <row r="76" spans="1:13" ht="18">
      <c r="A76" s="7">
        <v>42064</v>
      </c>
      <c r="B76" s="15">
        <f t="shared" si="15"/>
        <v>106569.20833333333</v>
      </c>
      <c r="C76" s="11">
        <f t="shared" si="16"/>
        <v>2237953.3749999995</v>
      </c>
      <c r="D76" s="33"/>
      <c r="E76" s="33"/>
      <c r="F76" s="33"/>
      <c r="G76" s="33"/>
      <c r="H76" s="33"/>
      <c r="I76" s="33"/>
      <c r="J76" s="33"/>
      <c r="K76" s="42"/>
      <c r="L76" s="42"/>
      <c r="M76" s="43"/>
    </row>
    <row r="77" spans="1:13" ht="18">
      <c r="A77" s="7">
        <v>42095</v>
      </c>
      <c r="B77" s="15">
        <f t="shared" si="15"/>
        <v>106569.20833333333</v>
      </c>
      <c r="C77" s="11">
        <f t="shared" si="16"/>
        <v>2344522.583333333</v>
      </c>
      <c r="D77" s="33"/>
      <c r="E77" s="33"/>
      <c r="F77" s="33"/>
      <c r="G77" s="33"/>
      <c r="H77" s="33"/>
      <c r="I77" s="33"/>
      <c r="J77" s="33"/>
      <c r="K77" s="42"/>
      <c r="L77" s="42"/>
      <c r="M77" s="43"/>
    </row>
    <row r="78" spans="1:13" ht="18">
      <c r="A78" s="7">
        <v>42125</v>
      </c>
      <c r="B78" s="15">
        <f t="shared" si="15"/>
        <v>106569.20833333333</v>
      </c>
      <c r="C78" s="11">
        <f t="shared" si="16"/>
        <v>2451091.7916666665</v>
      </c>
      <c r="D78" s="33"/>
      <c r="E78" s="33"/>
      <c r="F78" s="33"/>
      <c r="G78" s="33"/>
      <c r="H78" s="33"/>
      <c r="I78" s="33"/>
      <c r="J78" s="33"/>
      <c r="K78" s="42"/>
      <c r="L78" s="42"/>
      <c r="M78" s="43"/>
    </row>
    <row r="79" spans="1:13" ht="18">
      <c r="A79" s="7">
        <v>42157</v>
      </c>
      <c r="B79" s="15">
        <f t="shared" si="15"/>
        <v>106569.20833333333</v>
      </c>
      <c r="C79" s="11">
        <f t="shared" si="16"/>
        <v>2557661</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3591506</v>
      </c>
      <c r="C81" s="25">
        <f>SUM(B8:B19)</f>
        <v>3591505.9999999995</v>
      </c>
      <c r="D81" s="25">
        <f>SUM(D8:D19)</f>
        <v>190526</v>
      </c>
      <c r="E81" s="25">
        <f>SUM(E8:E19)</f>
        <v>3534756</v>
      </c>
      <c r="F81" s="25"/>
      <c r="G81" s="25">
        <f>SUM(G8:G19)</f>
        <v>3725282</v>
      </c>
      <c r="H81" s="25">
        <f>G81</f>
        <v>3725282</v>
      </c>
      <c r="I81" s="25">
        <f>I19</f>
        <v>-133776.00000000047</v>
      </c>
      <c r="J81" s="25">
        <f>J19</f>
        <v>325873.4</v>
      </c>
      <c r="K81" s="30">
        <f>SUM(K8:K19)</f>
        <v>21851</v>
      </c>
      <c r="L81" s="30">
        <f>SUM(L8:L19)</f>
        <v>20754</v>
      </c>
      <c r="M81" s="30">
        <f>SUM(M8:M19)</f>
        <v>2207</v>
      </c>
    </row>
    <row r="82" spans="1:13" ht="15" hidden="1">
      <c r="A82" s="20" t="s">
        <v>22</v>
      </c>
      <c r="B82" s="25">
        <v>5347832</v>
      </c>
      <c r="C82" s="25">
        <f>C31</f>
        <v>5347832.000000001</v>
      </c>
      <c r="D82" s="25">
        <f>SUM(D20:D31)</f>
        <v>154245</v>
      </c>
      <c r="E82" s="25">
        <f>SUM(E20:E31)</f>
        <v>3796338</v>
      </c>
      <c r="F82" s="25"/>
      <c r="G82" s="25">
        <f>SUM(G20:G31)</f>
        <v>3950583</v>
      </c>
      <c r="H82" s="25">
        <f>G82</f>
        <v>3950583</v>
      </c>
      <c r="I82" s="25">
        <f>I31</f>
        <v>1397249.000000001</v>
      </c>
      <c r="J82" s="25">
        <f>AVERAGE(G20:G31)</f>
        <v>329215.25</v>
      </c>
      <c r="K82" s="30">
        <f>SUM(K20:K31)</f>
        <v>32153</v>
      </c>
      <c r="L82" s="30">
        <f>SUM(L20:L31)</f>
        <v>22682</v>
      </c>
      <c r="M82" s="30">
        <f>SUM(M20:M31)</f>
        <v>6038</v>
      </c>
    </row>
    <row r="83" spans="1:13" ht="15" hidden="1">
      <c r="A83" s="20" t="s">
        <v>23</v>
      </c>
      <c r="B83" s="25">
        <f>SUM(B81:B82)</f>
        <v>8939338</v>
      </c>
      <c r="C83" s="25">
        <f>SUM(C81:C82)</f>
        <v>8939338</v>
      </c>
      <c r="D83" s="25">
        <f>D81+D82</f>
        <v>344771</v>
      </c>
      <c r="E83" s="25">
        <f>E81+E82</f>
        <v>7331094</v>
      </c>
      <c r="F83" s="25"/>
      <c r="G83" s="25">
        <f>G81+G82</f>
        <v>7675865</v>
      </c>
      <c r="H83" s="25">
        <f>H81+H82</f>
        <v>7675865</v>
      </c>
      <c r="I83" s="25"/>
      <c r="J83" s="25">
        <f>AVERAGE(G8:G31)</f>
        <v>319827.7083333333</v>
      </c>
      <c r="K83" s="27">
        <f>SUM(K81:K82)</f>
        <v>54004</v>
      </c>
      <c r="L83" s="27">
        <f>SUM(L81:L82)</f>
        <v>43436</v>
      </c>
      <c r="M83" s="27">
        <f>SUM(M81:M82)</f>
        <v>8245</v>
      </c>
    </row>
    <row r="84" spans="1:12" ht="15" hidden="1">
      <c r="A84" s="20"/>
      <c r="B84" s="25"/>
      <c r="C84" s="25"/>
      <c r="D84" s="25"/>
      <c r="E84" s="25"/>
      <c r="F84" s="25"/>
      <c r="G84" s="25"/>
      <c r="H84" s="25"/>
      <c r="I84" s="25"/>
      <c r="J84" s="25"/>
      <c r="K84" s="27"/>
      <c r="L84" s="27"/>
    </row>
    <row r="85" spans="1:13" ht="15" hidden="1">
      <c r="A85" s="20" t="s">
        <v>24</v>
      </c>
      <c r="B85" s="25">
        <v>1101746</v>
      </c>
      <c r="C85" s="25">
        <f>C43</f>
        <v>1101745.9999999998</v>
      </c>
      <c r="D85" s="25">
        <f>SUM(D32:D43)</f>
        <v>325</v>
      </c>
      <c r="E85" s="25">
        <f>SUM(E32:E43)</f>
        <v>258289</v>
      </c>
      <c r="F85" s="25">
        <f>SUM(F32:F67)</f>
        <v>795</v>
      </c>
      <c r="G85" s="25">
        <f>SUM(G32:G43)</f>
        <v>258734</v>
      </c>
      <c r="H85" s="25">
        <f>G85</f>
        <v>258734</v>
      </c>
      <c r="I85" s="25">
        <f>I43</f>
        <v>843011.9999999998</v>
      </c>
      <c r="J85" s="25">
        <f>AVERAGE(G32:G43)</f>
        <v>21561.166666666668</v>
      </c>
      <c r="K85" s="30">
        <f>SUM(K32:K43)</f>
        <v>49861</v>
      </c>
      <c r="L85" s="30">
        <f>SUM(L32:L43)</f>
        <v>11968</v>
      </c>
      <c r="M85" s="4">
        <f>SUM(M32:M43)</f>
        <v>3851</v>
      </c>
    </row>
    <row r="86" spans="1:13" ht="15" hidden="1">
      <c r="A86" s="20" t="s">
        <v>25</v>
      </c>
      <c r="B86" s="25">
        <v>1994339</v>
      </c>
      <c r="C86" s="25">
        <f>SUM(B44:B55)</f>
        <v>1994339.0000000002</v>
      </c>
      <c r="D86" s="25">
        <f>SUM(D44:D55)</f>
        <v>405</v>
      </c>
      <c r="E86" s="25">
        <f>SUM(E44:E55)</f>
        <v>593079</v>
      </c>
      <c r="F86" s="25">
        <f>SUM(F44:F55)</f>
        <v>0</v>
      </c>
      <c r="G86" s="25">
        <f>SUM(G44:G55)</f>
        <v>593484</v>
      </c>
      <c r="H86" s="25">
        <f>G86</f>
        <v>593484</v>
      </c>
      <c r="I86" s="25">
        <f>I55</f>
        <v>1400855.0000000002</v>
      </c>
      <c r="J86" s="25">
        <f>J55</f>
        <v>49457</v>
      </c>
      <c r="K86" s="30">
        <f>SUM(K44:K55)</f>
        <v>19840</v>
      </c>
      <c r="L86" s="30">
        <f>SUM(L44:L55)</f>
        <v>3730</v>
      </c>
      <c r="M86" s="44">
        <f>SUM(M44:M55)</f>
        <v>0</v>
      </c>
    </row>
    <row r="87" spans="1:13" ht="15" hidden="1">
      <c r="A87" s="20" t="s">
        <v>26</v>
      </c>
      <c r="B87" s="25">
        <f>B85+B86</f>
        <v>3096085</v>
      </c>
      <c r="C87" s="25">
        <f aca="true" t="shared" si="23" ref="C87:M87">SUM(C85:C86)</f>
        <v>3096085</v>
      </c>
      <c r="D87" s="25">
        <f t="shared" si="23"/>
        <v>730</v>
      </c>
      <c r="E87" s="25">
        <f t="shared" si="23"/>
        <v>851368</v>
      </c>
      <c r="F87" s="25">
        <f t="shared" si="23"/>
        <v>795</v>
      </c>
      <c r="G87" s="25">
        <f t="shared" si="23"/>
        <v>852218</v>
      </c>
      <c r="H87" s="25">
        <f t="shared" si="23"/>
        <v>852218</v>
      </c>
      <c r="I87" s="25">
        <f t="shared" si="23"/>
        <v>2243867</v>
      </c>
      <c r="J87" s="25">
        <f t="shared" si="23"/>
        <v>71018.16666666667</v>
      </c>
      <c r="K87" s="27">
        <f t="shared" si="23"/>
        <v>69701</v>
      </c>
      <c r="L87" s="27">
        <f t="shared" si="23"/>
        <v>15698</v>
      </c>
      <c r="M87" s="27">
        <f t="shared" si="23"/>
        <v>3851</v>
      </c>
    </row>
    <row r="88" spans="1:13" ht="15">
      <c r="A88" s="20"/>
      <c r="B88" s="25"/>
      <c r="C88" s="25"/>
      <c r="D88" s="25"/>
      <c r="E88" s="25"/>
      <c r="F88" s="25"/>
      <c r="G88" s="25"/>
      <c r="H88" s="25"/>
      <c r="I88" s="25"/>
      <c r="J88" s="25"/>
      <c r="K88" s="27"/>
      <c r="L88" s="27"/>
      <c r="M88" s="27"/>
    </row>
    <row r="89" spans="1:13" s="56" customFormat="1" ht="18" hidden="1">
      <c r="A89" s="52" t="s">
        <v>27</v>
      </c>
      <c r="B89" s="53">
        <f>2776447/2</f>
        <v>1388223.5</v>
      </c>
      <c r="C89" s="53">
        <f>C67</f>
        <v>1278830.5</v>
      </c>
      <c r="D89" s="53">
        <f>SUM(D56:D67)</f>
        <v>705</v>
      </c>
      <c r="E89" s="53">
        <f>SUM(E56:E67)</f>
        <v>752975.1</v>
      </c>
      <c r="F89" s="53">
        <f>SUM(F56:F67)</f>
        <v>0</v>
      </c>
      <c r="G89" s="53">
        <f>SUM(G56:G67)</f>
        <v>753680.1</v>
      </c>
      <c r="H89" s="53">
        <f aca="true" t="shared" si="24" ref="H89:J90">H67</f>
        <v>753680.1</v>
      </c>
      <c r="I89" s="53">
        <f t="shared" si="24"/>
        <v>525150.4</v>
      </c>
      <c r="J89" s="53">
        <f t="shared" si="24"/>
        <v>62806.674999999996</v>
      </c>
      <c r="K89" s="54">
        <f>SUM(K56:K67)</f>
        <v>35978</v>
      </c>
      <c r="L89" s="54">
        <f>SUM(L56:L67)</f>
        <v>12061</v>
      </c>
      <c r="M89" s="55"/>
    </row>
    <row r="90" spans="1:13" s="56" customFormat="1" ht="18" hidden="1">
      <c r="A90" s="52" t="s">
        <v>28</v>
      </c>
      <c r="B90" s="53">
        <f>2776447/2</f>
        <v>1388223.5</v>
      </c>
      <c r="C90" s="53">
        <v>1388223.5</v>
      </c>
      <c r="D90" s="53">
        <f>SUM(D68:D79)</f>
        <v>0</v>
      </c>
      <c r="E90" s="53">
        <f>SUM(E68:E79)</f>
        <v>718290</v>
      </c>
      <c r="F90" s="53">
        <f>SUM(F68:F79)</f>
        <v>0</v>
      </c>
      <c r="G90" s="53">
        <f>SUM(G68:G79)</f>
        <v>718290</v>
      </c>
      <c r="H90" s="53">
        <f>G68</f>
        <v>89064</v>
      </c>
      <c r="I90" s="53">
        <f t="shared" si="24"/>
        <v>542655.6083333333</v>
      </c>
      <c r="J90" s="53">
        <f t="shared" si="24"/>
        <v>64826.46923076923</v>
      </c>
      <c r="K90" s="54">
        <f>SUM(K68:K79)</f>
        <v>16068</v>
      </c>
      <c r="L90" s="54">
        <f>SUM(L68:L79)</f>
        <v>15583</v>
      </c>
      <c r="M90" s="55"/>
    </row>
    <row r="91" spans="1:13" ht="18">
      <c r="A91" s="20" t="s">
        <v>29</v>
      </c>
      <c r="B91" s="8">
        <v>2557661</v>
      </c>
      <c r="C91" s="8">
        <f>C79</f>
        <v>2557661</v>
      </c>
      <c r="D91" s="8">
        <f aca="true" t="shared" si="25" ref="D91:L91">D89+D90</f>
        <v>705</v>
      </c>
      <c r="E91" s="8">
        <f t="shared" si="25"/>
        <v>1471265.1</v>
      </c>
      <c r="F91" s="8">
        <f t="shared" si="25"/>
        <v>0</v>
      </c>
      <c r="G91" s="8">
        <f t="shared" si="25"/>
        <v>1471970.1</v>
      </c>
      <c r="H91" s="8">
        <f>H74</f>
        <v>1471970.1</v>
      </c>
      <c r="I91" s="8">
        <f>I74</f>
        <v>552844.8583333327</v>
      </c>
      <c r="J91" s="8">
        <f>J74</f>
        <v>77472.1105263158</v>
      </c>
      <c r="K91" s="9">
        <f t="shared" si="25"/>
        <v>52046</v>
      </c>
      <c r="L91" s="9">
        <f t="shared" si="25"/>
        <v>27644</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01"/>
  <sheetViews>
    <sheetView zoomScale="70" zoomScaleNormal="70" zoomScalePageLayoutView="0" workbookViewId="0" topLeftCell="A1">
      <pane xSplit="1" ySplit="7" topLeftCell="B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7.8515625" style="4" customWidth="1"/>
    <col min="3" max="3" width="16.28125" style="4" customWidth="1"/>
    <col min="4" max="4" width="18.28125" style="4" customWidth="1"/>
    <col min="5" max="5" width="20.28125" style="4" customWidth="1"/>
    <col min="6" max="6" width="17.421875" style="4" customWidth="1"/>
    <col min="7" max="7" width="17.8515625" style="4" customWidth="1"/>
    <col min="8" max="8" width="17.7109375" style="4" customWidth="1"/>
    <col min="9" max="9" width="14.28125" style="4" customWidth="1"/>
    <col min="10" max="10" width="17.28125" style="4" customWidth="1"/>
    <col min="11" max="11" width="17.7109375" style="4" customWidth="1"/>
    <col min="12" max="12" width="10.421875" style="4" customWidth="1"/>
    <col min="13" max="13" width="7.8515625" style="4" hidden="1" customWidth="1"/>
  </cols>
  <sheetData>
    <row r="1" spans="1:10" ht="18">
      <c r="A1" s="1" t="s">
        <v>0</v>
      </c>
      <c r="B1" s="2"/>
      <c r="C1" s="3"/>
      <c r="D1" s="3"/>
      <c r="E1" s="3"/>
      <c r="F1" s="3"/>
      <c r="G1" s="2"/>
      <c r="H1" s="2"/>
      <c r="I1" s="2"/>
      <c r="J1" s="2"/>
    </row>
    <row r="2" spans="1:2" ht="18">
      <c r="A2" s="5" t="s">
        <v>1</v>
      </c>
      <c r="B2" s="6">
        <v>4</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112802.58333333333</v>
      </c>
      <c r="C8" s="25">
        <f>B8</f>
        <v>112802.58333333333</v>
      </c>
      <c r="D8" s="25">
        <v>17369</v>
      </c>
      <c r="E8" s="25">
        <v>81819</v>
      </c>
      <c r="F8" s="25"/>
      <c r="G8" s="25">
        <f aca="true" t="shared" si="1" ref="G8:G31">D8+E8</f>
        <v>99188</v>
      </c>
      <c r="H8" s="25">
        <f>G8</f>
        <v>99188</v>
      </c>
      <c r="I8" s="25">
        <f aca="true" t="shared" si="2" ref="I8:I39">C8-H8</f>
        <v>13614.583333333328</v>
      </c>
      <c r="J8" s="25">
        <f>H8</f>
        <v>99188</v>
      </c>
      <c r="K8" s="30">
        <v>603</v>
      </c>
      <c r="L8" s="30">
        <v>846</v>
      </c>
    </row>
    <row r="9" spans="1:12" ht="15" hidden="1">
      <c r="A9" s="7">
        <v>39295</v>
      </c>
      <c r="B9" s="25">
        <f t="shared" si="0"/>
        <v>112802.58333333333</v>
      </c>
      <c r="C9" s="25">
        <f aca="true" t="shared" si="3" ref="C9:C19">C8+B9</f>
        <v>225605.16666666666</v>
      </c>
      <c r="D9" s="25">
        <v>15127</v>
      </c>
      <c r="E9" s="25">
        <v>92586</v>
      </c>
      <c r="F9" s="25"/>
      <c r="G9" s="25">
        <f t="shared" si="1"/>
        <v>107713</v>
      </c>
      <c r="H9" s="25">
        <f aca="true" t="shared" si="4" ref="H9:H19">H8+G9</f>
        <v>206901</v>
      </c>
      <c r="I9" s="25">
        <f t="shared" si="2"/>
        <v>18704.166666666657</v>
      </c>
      <c r="J9" s="25">
        <f>AVERAGE(G8:G9)</f>
        <v>103450.5</v>
      </c>
      <c r="K9" s="30">
        <v>581</v>
      </c>
      <c r="L9" s="30">
        <v>816</v>
      </c>
    </row>
    <row r="10" spans="1:12" ht="15" hidden="1">
      <c r="A10" s="7">
        <v>39326</v>
      </c>
      <c r="B10" s="25">
        <f t="shared" si="0"/>
        <v>112802.58333333333</v>
      </c>
      <c r="C10" s="25">
        <f t="shared" si="3"/>
        <v>338407.75</v>
      </c>
      <c r="D10" s="25">
        <v>11856</v>
      </c>
      <c r="E10" s="25">
        <v>86877</v>
      </c>
      <c r="F10" s="25"/>
      <c r="G10" s="25">
        <f t="shared" si="1"/>
        <v>98733</v>
      </c>
      <c r="H10" s="25">
        <f t="shared" si="4"/>
        <v>305634</v>
      </c>
      <c r="I10" s="25">
        <f t="shared" si="2"/>
        <v>32773.75</v>
      </c>
      <c r="J10" s="25">
        <f>AVERAGE(G8:G10)</f>
        <v>101878</v>
      </c>
      <c r="K10" s="30">
        <v>615</v>
      </c>
      <c r="L10" s="30">
        <v>865</v>
      </c>
    </row>
    <row r="11" spans="1:13" ht="15" hidden="1">
      <c r="A11" s="7">
        <v>39356</v>
      </c>
      <c r="B11" s="25">
        <f t="shared" si="0"/>
        <v>112802.58333333333</v>
      </c>
      <c r="C11" s="25">
        <f t="shared" si="3"/>
        <v>451210.3333333333</v>
      </c>
      <c r="D11" s="25">
        <v>8512</v>
      </c>
      <c r="E11" s="25">
        <v>82307</v>
      </c>
      <c r="F11" s="25"/>
      <c r="G11" s="25">
        <f t="shared" si="1"/>
        <v>90819</v>
      </c>
      <c r="H11" s="25">
        <f t="shared" si="4"/>
        <v>396453</v>
      </c>
      <c r="I11" s="25">
        <f t="shared" si="2"/>
        <v>54757.333333333314</v>
      </c>
      <c r="J11" s="25">
        <f>AVERAGE(G8:G11)</f>
        <v>99113.25</v>
      </c>
      <c r="K11" s="30">
        <v>623</v>
      </c>
      <c r="L11" s="30">
        <v>754</v>
      </c>
      <c r="M11" s="29">
        <v>17</v>
      </c>
    </row>
    <row r="12" spans="1:13" ht="15" hidden="1">
      <c r="A12" s="7">
        <v>39387</v>
      </c>
      <c r="B12" s="25">
        <f t="shared" si="0"/>
        <v>112802.58333333333</v>
      </c>
      <c r="C12" s="25">
        <f t="shared" si="3"/>
        <v>564012.9166666666</v>
      </c>
      <c r="D12" s="25">
        <v>10608</v>
      </c>
      <c r="E12" s="25">
        <v>101482</v>
      </c>
      <c r="F12" s="25"/>
      <c r="G12" s="25">
        <f t="shared" si="1"/>
        <v>112090</v>
      </c>
      <c r="H12" s="25">
        <f t="shared" si="4"/>
        <v>508543</v>
      </c>
      <c r="I12" s="25">
        <f t="shared" si="2"/>
        <v>55469.91666666663</v>
      </c>
      <c r="J12" s="25">
        <f>AVERAGE(G8:G12)</f>
        <v>101708.6</v>
      </c>
      <c r="K12" s="30">
        <v>593</v>
      </c>
      <c r="L12" s="30">
        <v>775</v>
      </c>
      <c r="M12" s="29">
        <v>38</v>
      </c>
    </row>
    <row r="13" spans="1:13" ht="15" hidden="1">
      <c r="A13" s="7">
        <v>39417</v>
      </c>
      <c r="B13" s="25">
        <f t="shared" si="0"/>
        <v>112802.58333333333</v>
      </c>
      <c r="C13" s="25">
        <f t="shared" si="3"/>
        <v>676815.5</v>
      </c>
      <c r="D13" s="25">
        <v>15249</v>
      </c>
      <c r="E13" s="25">
        <v>74985</v>
      </c>
      <c r="F13" s="25"/>
      <c r="G13" s="25">
        <f t="shared" si="1"/>
        <v>90234</v>
      </c>
      <c r="H13" s="25">
        <f t="shared" si="4"/>
        <v>598777</v>
      </c>
      <c r="I13" s="25">
        <f t="shared" si="2"/>
        <v>78038.5</v>
      </c>
      <c r="J13" s="25">
        <f>AVERAGE(G12:G13)</f>
        <v>101162</v>
      </c>
      <c r="K13" s="30">
        <v>609</v>
      </c>
      <c r="L13" s="30">
        <v>772</v>
      </c>
      <c r="M13" s="29">
        <v>58</v>
      </c>
    </row>
    <row r="14" spans="1:13" ht="15" hidden="1">
      <c r="A14" s="7">
        <v>39448</v>
      </c>
      <c r="B14" s="25">
        <f t="shared" si="0"/>
        <v>112802.58333333333</v>
      </c>
      <c r="C14" s="25">
        <f t="shared" si="3"/>
        <v>789618.0833333334</v>
      </c>
      <c r="D14" s="25">
        <v>16615</v>
      </c>
      <c r="E14" s="25">
        <v>88229</v>
      </c>
      <c r="F14" s="25"/>
      <c r="G14" s="25">
        <f t="shared" si="1"/>
        <v>104844</v>
      </c>
      <c r="H14" s="25">
        <f t="shared" si="4"/>
        <v>703621</v>
      </c>
      <c r="I14" s="25">
        <f t="shared" si="2"/>
        <v>85997.08333333337</v>
      </c>
      <c r="J14" s="25">
        <f>AVERAGE(G12:G14)</f>
        <v>102389.33333333333</v>
      </c>
      <c r="K14" s="30">
        <v>632</v>
      </c>
      <c r="L14" s="30">
        <v>809</v>
      </c>
      <c r="M14" s="29">
        <v>82</v>
      </c>
    </row>
    <row r="15" spans="1:13" ht="15" hidden="1">
      <c r="A15" s="7">
        <v>39479</v>
      </c>
      <c r="B15" s="25">
        <f t="shared" si="0"/>
        <v>112802.58333333333</v>
      </c>
      <c r="C15" s="25">
        <f t="shared" si="3"/>
        <v>902420.6666666667</v>
      </c>
      <c r="D15" s="25">
        <v>11205</v>
      </c>
      <c r="E15" s="25">
        <v>84647</v>
      </c>
      <c r="F15" s="25"/>
      <c r="G15" s="25">
        <f t="shared" si="1"/>
        <v>95852</v>
      </c>
      <c r="H15" s="25">
        <f t="shared" si="4"/>
        <v>799473</v>
      </c>
      <c r="I15" s="25">
        <f t="shared" si="2"/>
        <v>102947.66666666674</v>
      </c>
      <c r="J15" s="25">
        <f>AVERAGE(G12:G15)</f>
        <v>100755</v>
      </c>
      <c r="K15" s="30">
        <v>650</v>
      </c>
      <c r="L15" s="30">
        <v>798</v>
      </c>
      <c r="M15" s="29">
        <v>96</v>
      </c>
    </row>
    <row r="16" spans="1:13" ht="15" hidden="1">
      <c r="A16" s="7">
        <v>39508</v>
      </c>
      <c r="B16" s="25">
        <f t="shared" si="0"/>
        <v>112802.58333333333</v>
      </c>
      <c r="C16" s="25">
        <f t="shared" si="3"/>
        <v>1015223.2500000001</v>
      </c>
      <c r="D16" s="25">
        <v>10762</v>
      </c>
      <c r="E16" s="25">
        <v>100213</v>
      </c>
      <c r="F16" s="25"/>
      <c r="G16" s="25">
        <f t="shared" si="1"/>
        <v>110975</v>
      </c>
      <c r="H16" s="25">
        <f t="shared" si="4"/>
        <v>910448</v>
      </c>
      <c r="I16" s="25">
        <f t="shared" si="2"/>
        <v>104775.25000000012</v>
      </c>
      <c r="J16" s="25">
        <f>AVERAGE(G12:G16)</f>
        <v>102799</v>
      </c>
      <c r="K16" s="30">
        <v>677</v>
      </c>
      <c r="L16" s="30">
        <v>733</v>
      </c>
      <c r="M16" s="29">
        <v>109</v>
      </c>
    </row>
    <row r="17" spans="1:13" ht="15" hidden="1">
      <c r="A17" s="7">
        <v>39539</v>
      </c>
      <c r="B17" s="25">
        <f t="shared" si="0"/>
        <v>112802.58333333333</v>
      </c>
      <c r="C17" s="25">
        <f t="shared" si="3"/>
        <v>1128025.8333333335</v>
      </c>
      <c r="D17" s="25">
        <v>16188</v>
      </c>
      <c r="E17" s="25">
        <v>94581</v>
      </c>
      <c r="F17" s="25"/>
      <c r="G17" s="25">
        <f t="shared" si="1"/>
        <v>110769</v>
      </c>
      <c r="H17" s="25">
        <f t="shared" si="4"/>
        <v>1021217</v>
      </c>
      <c r="I17" s="25">
        <f t="shared" si="2"/>
        <v>106808.83333333349</v>
      </c>
      <c r="J17" s="25">
        <f>AVERAGE(G14:G17)</f>
        <v>105610</v>
      </c>
      <c r="K17" s="30">
        <v>679</v>
      </c>
      <c r="L17" s="30">
        <v>801</v>
      </c>
      <c r="M17" s="29">
        <v>125</v>
      </c>
    </row>
    <row r="18" spans="1:13" ht="15" hidden="1">
      <c r="A18" s="7">
        <v>39569</v>
      </c>
      <c r="B18" s="33">
        <f t="shared" si="0"/>
        <v>112802.58333333333</v>
      </c>
      <c r="C18" s="33">
        <f t="shared" si="3"/>
        <v>1240828.4166666667</v>
      </c>
      <c r="D18" s="33">
        <v>18312</v>
      </c>
      <c r="E18" s="33">
        <v>115054</v>
      </c>
      <c r="F18" s="33"/>
      <c r="G18" s="25">
        <f t="shared" si="1"/>
        <v>133366</v>
      </c>
      <c r="H18" s="25">
        <f t="shared" si="4"/>
        <v>1154583</v>
      </c>
      <c r="I18" s="25">
        <f t="shared" si="2"/>
        <v>86245.41666666674</v>
      </c>
      <c r="J18" s="25">
        <f>AVERAGE(G14:G18)</f>
        <v>111161.2</v>
      </c>
      <c r="K18" s="30">
        <v>687</v>
      </c>
      <c r="L18" s="30">
        <v>892</v>
      </c>
      <c r="M18" s="29">
        <v>139</v>
      </c>
    </row>
    <row r="19" spans="1:13" ht="15.75" hidden="1" thickBot="1">
      <c r="A19" s="7">
        <v>39600</v>
      </c>
      <c r="B19" s="34">
        <f t="shared" si="0"/>
        <v>112802.58333333333</v>
      </c>
      <c r="C19" s="34">
        <f t="shared" si="3"/>
        <v>1353631</v>
      </c>
      <c r="D19" s="34">
        <v>15147</v>
      </c>
      <c r="E19" s="34">
        <v>98853</v>
      </c>
      <c r="F19" s="34"/>
      <c r="G19" s="34">
        <f t="shared" si="1"/>
        <v>114000</v>
      </c>
      <c r="H19" s="34">
        <f t="shared" si="4"/>
        <v>1268583</v>
      </c>
      <c r="I19" s="34">
        <f t="shared" si="2"/>
        <v>85048</v>
      </c>
      <c r="J19" s="34">
        <f>AVERAGE(G15:G19)</f>
        <v>112992.4</v>
      </c>
      <c r="K19" s="35">
        <v>688</v>
      </c>
      <c r="L19" s="35">
        <v>827</v>
      </c>
      <c r="M19" s="36">
        <v>146</v>
      </c>
    </row>
    <row r="20" spans="1:13" ht="15" hidden="1">
      <c r="A20" s="7">
        <v>39630</v>
      </c>
      <c r="B20" s="37">
        <v>150725.8</v>
      </c>
      <c r="C20" s="33">
        <f>B20</f>
        <v>150725.8</v>
      </c>
      <c r="D20" s="33">
        <v>24992</v>
      </c>
      <c r="E20" s="33">
        <v>115894</v>
      </c>
      <c r="F20" s="33"/>
      <c r="G20" s="33">
        <f t="shared" si="1"/>
        <v>140886</v>
      </c>
      <c r="H20" s="33">
        <f>G20</f>
        <v>140886</v>
      </c>
      <c r="I20" s="33">
        <f t="shared" si="2"/>
        <v>9839.799999999988</v>
      </c>
      <c r="J20" s="33">
        <f>H20</f>
        <v>140886</v>
      </c>
      <c r="K20" s="30">
        <v>720</v>
      </c>
      <c r="L20" s="30">
        <v>848</v>
      </c>
      <c r="M20" s="29">
        <v>174</v>
      </c>
    </row>
    <row r="21" spans="1:13" ht="15" hidden="1">
      <c r="A21" s="7">
        <v>39661</v>
      </c>
      <c r="B21" s="37">
        <v>150725.8</v>
      </c>
      <c r="C21" s="33">
        <f aca="true" t="shared" si="5" ref="C21:C31">C20+B21</f>
        <v>301451.6</v>
      </c>
      <c r="D21" s="33">
        <v>10875</v>
      </c>
      <c r="E21" s="33">
        <v>127575</v>
      </c>
      <c r="F21" s="33"/>
      <c r="G21" s="33">
        <f t="shared" si="1"/>
        <v>138450</v>
      </c>
      <c r="H21" s="33">
        <f aca="true" t="shared" si="6" ref="H21:H31">H20+G21</f>
        <v>279336</v>
      </c>
      <c r="I21" s="33">
        <f t="shared" si="2"/>
        <v>22115.599999999977</v>
      </c>
      <c r="J21" s="33">
        <f>H21/2</f>
        <v>139668</v>
      </c>
      <c r="K21" s="30">
        <v>741</v>
      </c>
      <c r="L21" s="30">
        <v>884</v>
      </c>
      <c r="M21" s="29">
        <v>191</v>
      </c>
    </row>
    <row r="22" spans="1:13" ht="15" hidden="1">
      <c r="A22" s="7">
        <v>39692</v>
      </c>
      <c r="B22" s="37">
        <v>150725.8</v>
      </c>
      <c r="C22" s="33">
        <f t="shared" si="5"/>
        <v>452177.39999999997</v>
      </c>
      <c r="D22" s="33">
        <v>12000</v>
      </c>
      <c r="E22" s="33">
        <v>120325</v>
      </c>
      <c r="F22" s="33"/>
      <c r="G22" s="33">
        <f t="shared" si="1"/>
        <v>132325</v>
      </c>
      <c r="H22" s="33">
        <f t="shared" si="6"/>
        <v>411661</v>
      </c>
      <c r="I22" s="33">
        <f t="shared" si="2"/>
        <v>40516.399999999965</v>
      </c>
      <c r="J22" s="33">
        <f>H22/3</f>
        <v>137220.33333333334</v>
      </c>
      <c r="K22" s="30">
        <v>753</v>
      </c>
      <c r="L22" s="30">
        <v>923</v>
      </c>
      <c r="M22" s="29">
        <v>192</v>
      </c>
    </row>
    <row r="23" spans="1:13" ht="15" hidden="1">
      <c r="A23" s="7">
        <v>39722</v>
      </c>
      <c r="B23" s="37">
        <v>150725.8</v>
      </c>
      <c r="C23" s="33">
        <f t="shared" si="5"/>
        <v>602903.2</v>
      </c>
      <c r="D23" s="33">
        <v>17709</v>
      </c>
      <c r="E23" s="33">
        <v>107525</v>
      </c>
      <c r="F23" s="33"/>
      <c r="G23" s="33">
        <f t="shared" si="1"/>
        <v>125234</v>
      </c>
      <c r="H23" s="33">
        <f t="shared" si="6"/>
        <v>536895</v>
      </c>
      <c r="I23" s="33">
        <f t="shared" si="2"/>
        <v>66008.19999999995</v>
      </c>
      <c r="J23" s="33">
        <f>H23/4</f>
        <v>134223.75</v>
      </c>
      <c r="K23" s="30">
        <v>795</v>
      </c>
      <c r="L23" s="30">
        <v>953</v>
      </c>
      <c r="M23" s="29">
        <v>210</v>
      </c>
    </row>
    <row r="24" spans="1:13" ht="15" hidden="1">
      <c r="A24" s="7">
        <v>39753</v>
      </c>
      <c r="B24" s="37">
        <v>150725.8</v>
      </c>
      <c r="C24" s="33">
        <f t="shared" si="5"/>
        <v>753629</v>
      </c>
      <c r="D24" s="33">
        <v>14096</v>
      </c>
      <c r="E24" s="33">
        <v>107880</v>
      </c>
      <c r="F24" s="33"/>
      <c r="G24" s="33">
        <f t="shared" si="1"/>
        <v>121976</v>
      </c>
      <c r="H24" s="33">
        <f t="shared" si="6"/>
        <v>658871</v>
      </c>
      <c r="I24" s="33">
        <f t="shared" si="2"/>
        <v>94758</v>
      </c>
      <c r="J24" s="33">
        <f>H24/5</f>
        <v>131774.2</v>
      </c>
      <c r="K24" s="30">
        <v>831</v>
      </c>
      <c r="L24" s="30">
        <v>975</v>
      </c>
      <c r="M24" s="29">
        <v>198</v>
      </c>
    </row>
    <row r="25" spans="1:13" ht="15" hidden="1">
      <c r="A25" s="7">
        <v>39783</v>
      </c>
      <c r="B25" s="38">
        <v>87531.71428571429</v>
      </c>
      <c r="C25" s="33">
        <f t="shared" si="5"/>
        <v>841160.7142857143</v>
      </c>
      <c r="D25" s="33">
        <v>14646</v>
      </c>
      <c r="E25" s="33">
        <v>131193</v>
      </c>
      <c r="F25" s="33"/>
      <c r="G25" s="33">
        <f t="shared" si="1"/>
        <v>145839</v>
      </c>
      <c r="H25" s="33">
        <f t="shared" si="6"/>
        <v>804710</v>
      </c>
      <c r="I25" s="33">
        <f t="shared" si="2"/>
        <v>36450.71428571432</v>
      </c>
      <c r="J25" s="33">
        <f>H25/6</f>
        <v>134118.33333333334</v>
      </c>
      <c r="K25" s="30">
        <v>882</v>
      </c>
      <c r="L25" s="30">
        <v>964</v>
      </c>
      <c r="M25" s="29">
        <v>190</v>
      </c>
    </row>
    <row r="26" spans="1:13" ht="15" hidden="1">
      <c r="A26" s="7">
        <v>39814</v>
      </c>
      <c r="B26" s="38">
        <v>87531.71428571429</v>
      </c>
      <c r="C26" s="33">
        <f t="shared" si="5"/>
        <v>928692.4285714286</v>
      </c>
      <c r="D26" s="33">
        <v>3905</v>
      </c>
      <c r="E26" s="33">
        <v>96902</v>
      </c>
      <c r="F26" s="33"/>
      <c r="G26" s="33">
        <f t="shared" si="1"/>
        <v>100807</v>
      </c>
      <c r="H26" s="33">
        <f t="shared" si="6"/>
        <v>905517</v>
      </c>
      <c r="I26" s="33">
        <f t="shared" si="2"/>
        <v>23175.428571428638</v>
      </c>
      <c r="J26" s="33">
        <f>H26/7</f>
        <v>129359.57142857143</v>
      </c>
      <c r="K26" s="30">
        <v>933</v>
      </c>
      <c r="L26" s="30">
        <v>993</v>
      </c>
      <c r="M26" s="29">
        <v>179</v>
      </c>
    </row>
    <row r="27" spans="1:13" ht="15" hidden="1">
      <c r="A27" s="7">
        <v>39845</v>
      </c>
      <c r="B27" s="38">
        <v>87531.71428571429</v>
      </c>
      <c r="C27" s="33">
        <f t="shared" si="5"/>
        <v>1016224.142857143</v>
      </c>
      <c r="D27" s="33">
        <v>4389</v>
      </c>
      <c r="E27" s="33">
        <v>70567</v>
      </c>
      <c r="F27" s="33"/>
      <c r="G27" s="33">
        <f t="shared" si="1"/>
        <v>74956</v>
      </c>
      <c r="H27" s="33">
        <f t="shared" si="6"/>
        <v>980473</v>
      </c>
      <c r="I27" s="33">
        <f t="shared" si="2"/>
        <v>35751.14285714296</v>
      </c>
      <c r="J27" s="33">
        <f>H27/8</f>
        <v>122559.125</v>
      </c>
      <c r="K27" s="30">
        <v>932</v>
      </c>
      <c r="L27" s="30">
        <v>953</v>
      </c>
      <c r="M27" s="29">
        <v>168</v>
      </c>
    </row>
    <row r="28" spans="1:13" ht="15" hidden="1">
      <c r="A28" s="7">
        <v>39873</v>
      </c>
      <c r="B28" s="38">
        <v>87531.71428571429</v>
      </c>
      <c r="C28" s="33">
        <f t="shared" si="5"/>
        <v>1103755.8571428573</v>
      </c>
      <c r="D28" s="33">
        <v>1334</v>
      </c>
      <c r="E28" s="33">
        <v>82658</v>
      </c>
      <c r="F28" s="33"/>
      <c r="G28" s="33">
        <f t="shared" si="1"/>
        <v>83992</v>
      </c>
      <c r="H28" s="33">
        <f t="shared" si="6"/>
        <v>1064465</v>
      </c>
      <c r="I28" s="33">
        <f t="shared" si="2"/>
        <v>39290.857142857276</v>
      </c>
      <c r="J28" s="33">
        <f>H28/9</f>
        <v>118273.88888888889</v>
      </c>
      <c r="K28" s="30">
        <v>927</v>
      </c>
      <c r="L28" s="30">
        <v>948</v>
      </c>
      <c r="M28" s="29">
        <v>162</v>
      </c>
    </row>
    <row r="29" spans="1:13" ht="15" hidden="1">
      <c r="A29" s="7">
        <v>39904</v>
      </c>
      <c r="B29" s="38">
        <v>87531.71428571429</v>
      </c>
      <c r="C29" s="33">
        <f t="shared" si="5"/>
        <v>1191287.5714285716</v>
      </c>
      <c r="D29" s="33">
        <v>2273</v>
      </c>
      <c r="E29" s="33">
        <v>93984</v>
      </c>
      <c r="F29" s="33"/>
      <c r="G29" s="33">
        <f t="shared" si="1"/>
        <v>96257</v>
      </c>
      <c r="H29" s="33">
        <f t="shared" si="6"/>
        <v>1160722</v>
      </c>
      <c r="I29" s="33">
        <f t="shared" si="2"/>
        <v>30565.571428571595</v>
      </c>
      <c r="J29" s="33">
        <f>H29/10</f>
        <v>116072.2</v>
      </c>
      <c r="K29" s="30">
        <v>953</v>
      </c>
      <c r="L29" s="30">
        <v>957</v>
      </c>
      <c r="M29" s="29">
        <v>152</v>
      </c>
    </row>
    <row r="30" spans="1:13" ht="15" hidden="1">
      <c r="A30" s="7">
        <v>39934</v>
      </c>
      <c r="B30" s="38">
        <v>87531.71428571429</v>
      </c>
      <c r="C30" s="33">
        <f t="shared" si="5"/>
        <v>1278819.285714286</v>
      </c>
      <c r="D30" s="33">
        <v>6474</v>
      </c>
      <c r="E30" s="33">
        <v>81750</v>
      </c>
      <c r="F30" s="33"/>
      <c r="G30" s="33">
        <f t="shared" si="1"/>
        <v>88224</v>
      </c>
      <c r="H30" s="33">
        <f t="shared" si="6"/>
        <v>1248946</v>
      </c>
      <c r="I30" s="33">
        <f t="shared" si="2"/>
        <v>29873.285714285914</v>
      </c>
      <c r="J30" s="33">
        <f>H30/11</f>
        <v>113540.54545454546</v>
      </c>
      <c r="K30" s="30">
        <v>951</v>
      </c>
      <c r="L30" s="30">
        <v>957</v>
      </c>
      <c r="M30" s="29">
        <v>151</v>
      </c>
    </row>
    <row r="31" spans="1:13" ht="15.75" hidden="1" thickBot="1">
      <c r="A31" s="7">
        <v>39965</v>
      </c>
      <c r="B31" s="39">
        <v>87531.71428571429</v>
      </c>
      <c r="C31" s="34">
        <f t="shared" si="5"/>
        <v>1366351.0000000002</v>
      </c>
      <c r="D31" s="34">
        <v>2620</v>
      </c>
      <c r="E31" s="34">
        <v>87798</v>
      </c>
      <c r="F31" s="34"/>
      <c r="G31" s="34">
        <f t="shared" si="1"/>
        <v>90418</v>
      </c>
      <c r="H31" s="34">
        <f t="shared" si="6"/>
        <v>1339364</v>
      </c>
      <c r="I31" s="34">
        <f t="shared" si="2"/>
        <v>26987.000000000233</v>
      </c>
      <c r="J31" s="34">
        <f>H31/12</f>
        <v>111613.66666666667</v>
      </c>
      <c r="K31" s="40">
        <v>973</v>
      </c>
      <c r="L31" s="40">
        <v>887</v>
      </c>
      <c r="M31" s="36">
        <v>174</v>
      </c>
    </row>
    <row r="32" spans="1:13" ht="18" hidden="1">
      <c r="A32" s="7">
        <v>40725</v>
      </c>
      <c r="B32" s="37">
        <f aca="true" t="shared" si="7" ref="B32:B43">$B$85/12</f>
        <v>24323.083333333332</v>
      </c>
      <c r="C32" s="33">
        <f>B32</f>
        <v>24323.083333333332</v>
      </c>
      <c r="D32" s="33">
        <v>0</v>
      </c>
      <c r="E32" s="33">
        <v>5193</v>
      </c>
      <c r="F32" s="33">
        <v>0</v>
      </c>
      <c r="G32" s="33">
        <f aca="true" t="shared" si="8" ref="G32:G67">D32+E32+F32</f>
        <v>5193</v>
      </c>
      <c r="H32" s="33">
        <f>G32</f>
        <v>5193</v>
      </c>
      <c r="I32" s="33">
        <f t="shared" si="2"/>
        <v>19130.083333333332</v>
      </c>
      <c r="J32" s="11">
        <f>H32</f>
        <v>5193</v>
      </c>
      <c r="K32" s="42">
        <v>1180</v>
      </c>
      <c r="L32" s="42">
        <v>309</v>
      </c>
      <c r="M32" s="29">
        <v>125</v>
      </c>
    </row>
    <row r="33" spans="1:13" ht="18" hidden="1">
      <c r="A33" s="7">
        <v>40756</v>
      </c>
      <c r="B33" s="37">
        <f t="shared" si="7"/>
        <v>24323.083333333332</v>
      </c>
      <c r="C33" s="33">
        <f aca="true" t="shared" si="9" ref="C33:C43">C32+B33</f>
        <v>48646.166666666664</v>
      </c>
      <c r="D33" s="33">
        <v>0</v>
      </c>
      <c r="E33" s="33">
        <v>4673</v>
      </c>
      <c r="F33" s="33">
        <v>0</v>
      </c>
      <c r="G33" s="33">
        <f t="shared" si="8"/>
        <v>4673</v>
      </c>
      <c r="H33" s="33">
        <f aca="true" t="shared" si="10" ref="H33:H43">H32+G33</f>
        <v>9866</v>
      </c>
      <c r="I33" s="33">
        <f t="shared" si="2"/>
        <v>38780.166666666664</v>
      </c>
      <c r="J33" s="11">
        <f>H33/2</f>
        <v>4933</v>
      </c>
      <c r="K33" s="42">
        <v>1003</v>
      </c>
      <c r="L33" s="42">
        <v>326</v>
      </c>
      <c r="M33" s="29">
        <v>131</v>
      </c>
    </row>
    <row r="34" spans="1:13" ht="18" hidden="1">
      <c r="A34" s="7">
        <v>40787</v>
      </c>
      <c r="B34" s="37">
        <f t="shared" si="7"/>
        <v>24323.083333333332</v>
      </c>
      <c r="C34" s="33">
        <f t="shared" si="9"/>
        <v>72969.25</v>
      </c>
      <c r="D34" s="33">
        <v>0</v>
      </c>
      <c r="E34" s="33">
        <f>1298-F34</f>
        <v>1248</v>
      </c>
      <c r="F34" s="33">
        <v>50</v>
      </c>
      <c r="G34" s="33">
        <f t="shared" si="8"/>
        <v>1298</v>
      </c>
      <c r="H34" s="33">
        <f t="shared" si="10"/>
        <v>11164</v>
      </c>
      <c r="I34" s="33">
        <f t="shared" si="2"/>
        <v>61805.25</v>
      </c>
      <c r="J34" s="11">
        <f>H34/3</f>
        <v>3721.3333333333335</v>
      </c>
      <c r="K34" s="42">
        <v>1039</v>
      </c>
      <c r="L34" s="42">
        <v>362</v>
      </c>
      <c r="M34" s="29">
        <v>115</v>
      </c>
    </row>
    <row r="35" spans="1:13" ht="18" hidden="1">
      <c r="A35" s="7">
        <v>40817</v>
      </c>
      <c r="B35" s="37">
        <f t="shared" si="7"/>
        <v>24323.083333333332</v>
      </c>
      <c r="C35" s="33">
        <f t="shared" si="9"/>
        <v>97292.33333333333</v>
      </c>
      <c r="D35" s="33">
        <v>0</v>
      </c>
      <c r="E35" s="33">
        <v>3007</v>
      </c>
      <c r="F35" s="33">
        <v>0</v>
      </c>
      <c r="G35" s="33">
        <f t="shared" si="8"/>
        <v>3007</v>
      </c>
      <c r="H35" s="33">
        <f t="shared" si="10"/>
        <v>14171</v>
      </c>
      <c r="I35" s="33">
        <f t="shared" si="2"/>
        <v>83121.33333333333</v>
      </c>
      <c r="J35" s="11">
        <f>H35/4</f>
        <v>3542.75</v>
      </c>
      <c r="K35" s="42">
        <v>1340</v>
      </c>
      <c r="L35" s="42">
        <v>391</v>
      </c>
      <c r="M35" s="29">
        <v>114</v>
      </c>
    </row>
    <row r="36" spans="1:13" ht="18" hidden="1">
      <c r="A36" s="7">
        <v>40848</v>
      </c>
      <c r="B36" s="37">
        <f t="shared" si="7"/>
        <v>24323.083333333332</v>
      </c>
      <c r="C36" s="33">
        <f t="shared" si="9"/>
        <v>121615.41666666666</v>
      </c>
      <c r="D36" s="33">
        <v>0</v>
      </c>
      <c r="E36" s="33">
        <v>4289</v>
      </c>
      <c r="F36" s="33">
        <v>0</v>
      </c>
      <c r="G36" s="33">
        <f t="shared" si="8"/>
        <v>4289</v>
      </c>
      <c r="H36" s="33">
        <f t="shared" si="10"/>
        <v>18460</v>
      </c>
      <c r="I36" s="33">
        <f t="shared" si="2"/>
        <v>103155.41666666666</v>
      </c>
      <c r="J36" s="11">
        <f>H36/5</f>
        <v>3692</v>
      </c>
      <c r="K36" s="42">
        <v>1408</v>
      </c>
      <c r="L36" s="42">
        <v>362</v>
      </c>
      <c r="M36" s="29">
        <v>104</v>
      </c>
    </row>
    <row r="37" spans="1:13" ht="18" hidden="1">
      <c r="A37" s="7">
        <v>40878</v>
      </c>
      <c r="B37" s="37">
        <f t="shared" si="7"/>
        <v>24323.083333333332</v>
      </c>
      <c r="C37" s="33">
        <f t="shared" si="9"/>
        <v>145938.5</v>
      </c>
      <c r="D37" s="33">
        <v>0</v>
      </c>
      <c r="E37" s="33">
        <v>1130</v>
      </c>
      <c r="F37" s="33">
        <v>0</v>
      </c>
      <c r="G37" s="33">
        <f t="shared" si="8"/>
        <v>1130</v>
      </c>
      <c r="H37" s="33">
        <f t="shared" si="10"/>
        <v>19590</v>
      </c>
      <c r="I37" s="33">
        <f t="shared" si="2"/>
        <v>126348.5</v>
      </c>
      <c r="J37" s="11">
        <f>H37/6</f>
        <v>3265</v>
      </c>
      <c r="K37" s="42">
        <v>1405</v>
      </c>
      <c r="L37" s="42">
        <v>331</v>
      </c>
      <c r="M37" s="29">
        <v>103</v>
      </c>
    </row>
    <row r="38" spans="1:13" ht="18" hidden="1">
      <c r="A38" s="7">
        <v>40909</v>
      </c>
      <c r="B38" s="37">
        <f t="shared" si="7"/>
        <v>24323.083333333332</v>
      </c>
      <c r="C38" s="33">
        <f t="shared" si="9"/>
        <v>170261.58333333334</v>
      </c>
      <c r="D38" s="33">
        <v>0</v>
      </c>
      <c r="E38" s="33">
        <v>6660</v>
      </c>
      <c r="F38" s="33">
        <v>0</v>
      </c>
      <c r="G38" s="33">
        <f t="shared" si="8"/>
        <v>6660</v>
      </c>
      <c r="H38" s="33">
        <f t="shared" si="10"/>
        <v>26250</v>
      </c>
      <c r="I38" s="33">
        <f t="shared" si="2"/>
        <v>144011.58333333334</v>
      </c>
      <c r="J38" s="11">
        <f>H38/7</f>
        <v>3750</v>
      </c>
      <c r="K38" s="42">
        <v>1332</v>
      </c>
      <c r="L38" s="42">
        <v>355</v>
      </c>
      <c r="M38" s="29">
        <v>97</v>
      </c>
    </row>
    <row r="39" spans="1:13" ht="18" hidden="1">
      <c r="A39" s="7">
        <v>40940</v>
      </c>
      <c r="B39" s="37">
        <f t="shared" si="7"/>
        <v>24323.083333333332</v>
      </c>
      <c r="C39" s="33">
        <f t="shared" si="9"/>
        <v>194584.6666666667</v>
      </c>
      <c r="D39" s="33">
        <v>0</v>
      </c>
      <c r="E39" s="33">
        <v>-6349</v>
      </c>
      <c r="F39" s="33">
        <v>0</v>
      </c>
      <c r="G39" s="33">
        <f t="shared" si="8"/>
        <v>-6349</v>
      </c>
      <c r="H39" s="33">
        <f t="shared" si="10"/>
        <v>19901</v>
      </c>
      <c r="I39" s="33">
        <f t="shared" si="2"/>
        <v>174683.6666666667</v>
      </c>
      <c r="J39" s="11">
        <f>H39/8</f>
        <v>2487.625</v>
      </c>
      <c r="K39" s="42">
        <v>1317</v>
      </c>
      <c r="L39" s="42">
        <v>376</v>
      </c>
      <c r="M39" s="29">
        <v>97</v>
      </c>
    </row>
    <row r="40" spans="1:13" ht="18" hidden="1">
      <c r="A40" s="7">
        <v>40969</v>
      </c>
      <c r="B40" s="37">
        <f t="shared" si="7"/>
        <v>24323.083333333332</v>
      </c>
      <c r="C40" s="33">
        <f t="shared" si="9"/>
        <v>218907.75000000003</v>
      </c>
      <c r="D40" s="33">
        <v>0</v>
      </c>
      <c r="E40" s="33">
        <v>14079</v>
      </c>
      <c r="F40" s="33">
        <v>0</v>
      </c>
      <c r="G40" s="33">
        <f t="shared" si="8"/>
        <v>14079</v>
      </c>
      <c r="H40" s="33">
        <f t="shared" si="10"/>
        <v>33980</v>
      </c>
      <c r="I40" s="33">
        <f aca="true" t="shared" si="11" ref="I40:I59">C40-H40</f>
        <v>184927.75000000003</v>
      </c>
      <c r="J40" s="11">
        <f>H40/9</f>
        <v>3775.5555555555557</v>
      </c>
      <c r="K40" s="42">
        <v>1277</v>
      </c>
      <c r="L40" s="42">
        <v>431</v>
      </c>
      <c r="M40" s="43">
        <v>99</v>
      </c>
    </row>
    <row r="41" spans="1:13" ht="18" hidden="1">
      <c r="A41" s="7">
        <v>41000</v>
      </c>
      <c r="B41" s="37">
        <f t="shared" si="7"/>
        <v>24323.083333333332</v>
      </c>
      <c r="C41" s="33">
        <f t="shared" si="9"/>
        <v>243230.83333333337</v>
      </c>
      <c r="D41" s="33">
        <v>0</v>
      </c>
      <c r="E41" s="33">
        <v>7972</v>
      </c>
      <c r="F41" s="33">
        <v>0</v>
      </c>
      <c r="G41" s="33">
        <f t="shared" si="8"/>
        <v>7972</v>
      </c>
      <c r="H41" s="33">
        <f t="shared" si="10"/>
        <v>41952</v>
      </c>
      <c r="I41" s="33">
        <f t="shared" si="11"/>
        <v>201278.83333333337</v>
      </c>
      <c r="J41" s="11">
        <f>H41/10</f>
        <v>4195.2</v>
      </c>
      <c r="K41" s="42">
        <v>1404</v>
      </c>
      <c r="L41" s="42">
        <v>442</v>
      </c>
      <c r="M41" s="43">
        <v>88</v>
      </c>
    </row>
    <row r="42" spans="1:13" ht="18" hidden="1">
      <c r="A42" s="7">
        <v>41030</v>
      </c>
      <c r="B42" s="37">
        <f t="shared" si="7"/>
        <v>24323.083333333332</v>
      </c>
      <c r="C42" s="33">
        <f t="shared" si="9"/>
        <v>267553.9166666667</v>
      </c>
      <c r="D42" s="33">
        <v>0</v>
      </c>
      <c r="E42" s="33">
        <v>3214</v>
      </c>
      <c r="F42" s="33">
        <v>0</v>
      </c>
      <c r="G42" s="33">
        <f t="shared" si="8"/>
        <v>3214</v>
      </c>
      <c r="H42" s="33">
        <f t="shared" si="10"/>
        <v>45166</v>
      </c>
      <c r="I42" s="33">
        <f t="shared" si="11"/>
        <v>222387.9166666667</v>
      </c>
      <c r="J42" s="11">
        <f>H42/11</f>
        <v>4106</v>
      </c>
      <c r="K42" s="42">
        <v>1209</v>
      </c>
      <c r="L42" s="42">
        <v>422</v>
      </c>
      <c r="M42" s="43">
        <v>0</v>
      </c>
    </row>
    <row r="43" spans="1:13" ht="18.75" hidden="1" thickBot="1">
      <c r="A43" s="7">
        <v>41061</v>
      </c>
      <c r="B43" s="39">
        <f t="shared" si="7"/>
        <v>24323.083333333332</v>
      </c>
      <c r="C43" s="34">
        <f t="shared" si="9"/>
        <v>291877</v>
      </c>
      <c r="D43" s="34">
        <v>0</v>
      </c>
      <c r="E43" s="34">
        <v>10387</v>
      </c>
      <c r="F43" s="34">
        <v>0</v>
      </c>
      <c r="G43" s="34">
        <f t="shared" si="8"/>
        <v>10387</v>
      </c>
      <c r="H43" s="34">
        <f t="shared" si="10"/>
        <v>55553</v>
      </c>
      <c r="I43" s="34">
        <f t="shared" si="11"/>
        <v>236324</v>
      </c>
      <c r="J43" s="12">
        <f>H43/12</f>
        <v>4629.416666666667</v>
      </c>
      <c r="K43" s="40">
        <v>1231</v>
      </c>
      <c r="L43" s="40">
        <v>434</v>
      </c>
      <c r="M43" s="41">
        <v>0</v>
      </c>
    </row>
    <row r="44" spans="1:13" ht="18" hidden="1">
      <c r="A44" s="7">
        <v>41091</v>
      </c>
      <c r="B44" s="37">
        <f aca="true" t="shared" si="12" ref="B44:B54">$B$86/12</f>
        <v>36193.75</v>
      </c>
      <c r="C44" s="33">
        <f>B44</f>
        <v>36193.75</v>
      </c>
      <c r="D44" s="33">
        <v>0</v>
      </c>
      <c r="E44" s="33">
        <v>5820</v>
      </c>
      <c r="F44" s="11">
        <v>0</v>
      </c>
      <c r="G44" s="33">
        <f t="shared" si="8"/>
        <v>5820</v>
      </c>
      <c r="H44" s="33">
        <f>G44</f>
        <v>5820</v>
      </c>
      <c r="I44" s="33">
        <f t="shared" si="11"/>
        <v>30373.75</v>
      </c>
      <c r="J44" s="33">
        <f>H44/1</f>
        <v>5820</v>
      </c>
      <c r="K44" s="42">
        <v>1152</v>
      </c>
      <c r="L44" s="42">
        <v>399</v>
      </c>
      <c r="M44" s="43"/>
    </row>
    <row r="45" spans="1:13" ht="15" hidden="1">
      <c r="A45" s="7">
        <v>41122</v>
      </c>
      <c r="B45" s="37">
        <f t="shared" si="12"/>
        <v>36193.75</v>
      </c>
      <c r="C45" s="33">
        <f aca="true" t="shared" si="13" ref="C45:C55">C44+B45</f>
        <v>72387.5</v>
      </c>
      <c r="D45" s="33">
        <v>0</v>
      </c>
      <c r="E45" s="33">
        <v>18310</v>
      </c>
      <c r="F45" s="33">
        <v>0</v>
      </c>
      <c r="G45" s="33">
        <f t="shared" si="8"/>
        <v>18310</v>
      </c>
      <c r="H45" s="33">
        <f aca="true" t="shared" si="14" ref="H45:H55">H44+G45</f>
        <v>24130</v>
      </c>
      <c r="I45" s="33">
        <f t="shared" si="11"/>
        <v>48257.5</v>
      </c>
      <c r="J45" s="33">
        <f>H45/2</f>
        <v>12065</v>
      </c>
      <c r="K45" s="42">
        <v>1141</v>
      </c>
      <c r="L45" s="42">
        <v>262</v>
      </c>
      <c r="M45" s="43"/>
    </row>
    <row r="46" spans="1:13" ht="15" hidden="1">
      <c r="A46" s="7">
        <v>41153</v>
      </c>
      <c r="B46" s="37">
        <f t="shared" si="12"/>
        <v>36193.75</v>
      </c>
      <c r="C46" s="33">
        <f t="shared" si="13"/>
        <v>108581.25</v>
      </c>
      <c r="D46" s="33">
        <v>0</v>
      </c>
      <c r="E46" s="33">
        <v>6928</v>
      </c>
      <c r="F46" s="33">
        <v>0</v>
      </c>
      <c r="G46" s="33">
        <f t="shared" si="8"/>
        <v>6928</v>
      </c>
      <c r="H46" s="33">
        <f t="shared" si="14"/>
        <v>31058</v>
      </c>
      <c r="I46" s="33">
        <f t="shared" si="11"/>
        <v>77523.25</v>
      </c>
      <c r="J46" s="33">
        <f>H46/3</f>
        <v>10352.666666666666</v>
      </c>
      <c r="K46" s="42">
        <v>1173</v>
      </c>
      <c r="L46" s="42">
        <v>315</v>
      </c>
      <c r="M46" s="43"/>
    </row>
    <row r="47" spans="1:13" ht="15" hidden="1">
      <c r="A47" s="7">
        <v>41183</v>
      </c>
      <c r="B47" s="37">
        <f t="shared" si="12"/>
        <v>36193.75</v>
      </c>
      <c r="C47" s="33">
        <f t="shared" si="13"/>
        <v>144775</v>
      </c>
      <c r="D47" s="33">
        <v>0</v>
      </c>
      <c r="E47" s="33">
        <v>7023</v>
      </c>
      <c r="F47" s="33">
        <v>0</v>
      </c>
      <c r="G47" s="33">
        <f t="shared" si="8"/>
        <v>7023</v>
      </c>
      <c r="H47" s="33">
        <f t="shared" si="14"/>
        <v>38081</v>
      </c>
      <c r="I47" s="33">
        <f t="shared" si="11"/>
        <v>106694</v>
      </c>
      <c r="J47" s="33">
        <f>H47/4</f>
        <v>9520.25</v>
      </c>
      <c r="K47" s="42">
        <v>1136</v>
      </c>
      <c r="L47" s="42">
        <v>304</v>
      </c>
      <c r="M47" s="43"/>
    </row>
    <row r="48" spans="1:13" ht="15" hidden="1">
      <c r="A48" s="7">
        <v>41214</v>
      </c>
      <c r="B48" s="37">
        <f t="shared" si="12"/>
        <v>36193.75</v>
      </c>
      <c r="C48" s="33">
        <f t="shared" si="13"/>
        <v>180968.75</v>
      </c>
      <c r="D48" s="33">
        <v>0</v>
      </c>
      <c r="E48" s="33">
        <v>14500</v>
      </c>
      <c r="F48" s="33">
        <v>0</v>
      </c>
      <c r="G48" s="33">
        <f t="shared" si="8"/>
        <v>14500</v>
      </c>
      <c r="H48" s="33">
        <f t="shared" si="14"/>
        <v>52581</v>
      </c>
      <c r="I48" s="33">
        <f t="shared" si="11"/>
        <v>128387.75</v>
      </c>
      <c r="J48" s="33">
        <f>H48/5</f>
        <v>10516.2</v>
      </c>
      <c r="K48" s="42">
        <v>1156</v>
      </c>
      <c r="L48" s="42">
        <v>312</v>
      </c>
      <c r="M48" s="43"/>
    </row>
    <row r="49" spans="1:13" ht="15" hidden="1">
      <c r="A49" s="7">
        <v>41244</v>
      </c>
      <c r="B49" s="37">
        <f t="shared" si="12"/>
        <v>36193.75</v>
      </c>
      <c r="C49" s="33">
        <f t="shared" si="13"/>
        <v>217162.5</v>
      </c>
      <c r="D49" s="33">
        <v>0</v>
      </c>
      <c r="E49" s="33">
        <v>13302</v>
      </c>
      <c r="F49" s="33">
        <v>0</v>
      </c>
      <c r="G49" s="33">
        <f t="shared" si="8"/>
        <v>13302</v>
      </c>
      <c r="H49" s="33">
        <f t="shared" si="14"/>
        <v>65883</v>
      </c>
      <c r="I49" s="33">
        <f t="shared" si="11"/>
        <v>151279.5</v>
      </c>
      <c r="J49" s="33">
        <f>H49/6</f>
        <v>10980.5</v>
      </c>
      <c r="K49" s="42"/>
      <c r="L49" s="42"/>
      <c r="M49" s="43"/>
    </row>
    <row r="50" spans="1:13" ht="15" hidden="1">
      <c r="A50" s="7">
        <v>41275</v>
      </c>
      <c r="B50" s="37">
        <f t="shared" si="12"/>
        <v>36193.75</v>
      </c>
      <c r="C50" s="33">
        <f t="shared" si="13"/>
        <v>253356.25</v>
      </c>
      <c r="D50" s="33">
        <v>0</v>
      </c>
      <c r="E50" s="33">
        <v>12418</v>
      </c>
      <c r="F50" s="33">
        <v>0</v>
      </c>
      <c r="G50" s="33">
        <f t="shared" si="8"/>
        <v>12418</v>
      </c>
      <c r="H50" s="33">
        <f t="shared" si="14"/>
        <v>78301</v>
      </c>
      <c r="I50" s="33">
        <f t="shared" si="11"/>
        <v>175055.25</v>
      </c>
      <c r="J50" s="33">
        <f>H50/7</f>
        <v>11185.857142857143</v>
      </c>
      <c r="K50" s="42"/>
      <c r="L50" s="42"/>
      <c r="M50" s="43"/>
    </row>
    <row r="51" spans="1:13" ht="15" hidden="1">
      <c r="A51" s="7">
        <v>41306</v>
      </c>
      <c r="B51" s="37">
        <f t="shared" si="12"/>
        <v>36193.75</v>
      </c>
      <c r="C51" s="33">
        <f t="shared" si="13"/>
        <v>289550</v>
      </c>
      <c r="D51" s="33">
        <v>0</v>
      </c>
      <c r="E51" s="33">
        <v>14675</v>
      </c>
      <c r="F51" s="33">
        <v>0</v>
      </c>
      <c r="G51" s="33">
        <f t="shared" si="8"/>
        <v>14675</v>
      </c>
      <c r="H51" s="33">
        <f t="shared" si="14"/>
        <v>92976</v>
      </c>
      <c r="I51" s="33">
        <f t="shared" si="11"/>
        <v>196574</v>
      </c>
      <c r="J51" s="33">
        <f>H51/8</f>
        <v>11622</v>
      </c>
      <c r="K51" s="42"/>
      <c r="L51" s="42"/>
      <c r="M51" s="43"/>
    </row>
    <row r="52" spans="1:13" ht="15" hidden="1">
      <c r="A52" s="7">
        <v>41334</v>
      </c>
      <c r="B52" s="37">
        <f t="shared" si="12"/>
        <v>36193.75</v>
      </c>
      <c r="C52" s="33">
        <f t="shared" si="13"/>
        <v>325743.75</v>
      </c>
      <c r="D52" s="33">
        <v>0</v>
      </c>
      <c r="E52" s="33">
        <v>14396</v>
      </c>
      <c r="F52" s="33">
        <v>0</v>
      </c>
      <c r="G52" s="33">
        <f t="shared" si="8"/>
        <v>14396</v>
      </c>
      <c r="H52" s="33">
        <f t="shared" si="14"/>
        <v>107372</v>
      </c>
      <c r="I52" s="33">
        <f t="shared" si="11"/>
        <v>218371.75</v>
      </c>
      <c r="J52" s="33">
        <f>H52/9</f>
        <v>11930.222222222223</v>
      </c>
      <c r="K52" s="42"/>
      <c r="L52" s="42"/>
      <c r="M52" s="43"/>
    </row>
    <row r="53" spans="1:13" ht="15" hidden="1">
      <c r="A53" s="7">
        <v>41365</v>
      </c>
      <c r="B53" s="37">
        <f t="shared" si="12"/>
        <v>36193.75</v>
      </c>
      <c r="C53" s="33">
        <f t="shared" si="13"/>
        <v>361937.5</v>
      </c>
      <c r="D53" s="33">
        <v>0</v>
      </c>
      <c r="E53" s="33">
        <v>18421</v>
      </c>
      <c r="F53" s="33">
        <v>0</v>
      </c>
      <c r="G53" s="33">
        <f t="shared" si="8"/>
        <v>18421</v>
      </c>
      <c r="H53" s="33">
        <f t="shared" si="14"/>
        <v>125793</v>
      </c>
      <c r="I53" s="33">
        <f t="shared" si="11"/>
        <v>236144.5</v>
      </c>
      <c r="J53" s="33">
        <f>H53/10</f>
        <v>12579.3</v>
      </c>
      <c r="K53" s="42"/>
      <c r="L53" s="42"/>
      <c r="M53" s="43"/>
    </row>
    <row r="54" spans="1:13" ht="15" hidden="1">
      <c r="A54" s="7">
        <v>41395</v>
      </c>
      <c r="B54" s="37">
        <f t="shared" si="12"/>
        <v>36193.75</v>
      </c>
      <c r="C54" s="33">
        <f t="shared" si="13"/>
        <v>398131.25</v>
      </c>
      <c r="D54" s="33">
        <v>0</v>
      </c>
      <c r="E54" s="33">
        <v>14988</v>
      </c>
      <c r="F54" s="33">
        <v>0</v>
      </c>
      <c r="G54" s="33">
        <f t="shared" si="8"/>
        <v>14988</v>
      </c>
      <c r="H54" s="33">
        <f t="shared" si="14"/>
        <v>140781</v>
      </c>
      <c r="I54" s="33">
        <f t="shared" si="11"/>
        <v>257350.25</v>
      </c>
      <c r="J54" s="33">
        <f>H54/11</f>
        <v>12798.272727272728</v>
      </c>
      <c r="K54" s="42"/>
      <c r="L54" s="42"/>
      <c r="M54" s="43"/>
    </row>
    <row r="55" spans="1:13" ht="15.75" hidden="1" thickBot="1">
      <c r="A55" s="7">
        <v>41426</v>
      </c>
      <c r="B55" s="39">
        <v>40457.833333333336</v>
      </c>
      <c r="C55" s="34">
        <f t="shared" si="13"/>
        <v>438589.0833333333</v>
      </c>
      <c r="D55" s="34">
        <v>0</v>
      </c>
      <c r="E55" s="34">
        <v>18856</v>
      </c>
      <c r="F55" s="34">
        <v>0</v>
      </c>
      <c r="G55" s="34">
        <f t="shared" si="8"/>
        <v>18856</v>
      </c>
      <c r="H55" s="34">
        <f t="shared" si="14"/>
        <v>159637</v>
      </c>
      <c r="I55" s="34">
        <f t="shared" si="11"/>
        <v>278952.0833333333</v>
      </c>
      <c r="J55" s="34">
        <f>H55/12</f>
        <v>13303.083333333334</v>
      </c>
      <c r="K55" s="40"/>
      <c r="L55" s="40"/>
      <c r="M55" s="41"/>
    </row>
    <row r="56" spans="1:13" ht="15" hidden="1">
      <c r="A56" s="7">
        <v>41456</v>
      </c>
      <c r="B56" s="37">
        <f>$B$91/24</f>
        <v>27162.541666666668</v>
      </c>
      <c r="C56" s="33">
        <f>B56</f>
        <v>27162.541666666668</v>
      </c>
      <c r="D56" s="33">
        <v>0</v>
      </c>
      <c r="E56" s="33">
        <v>17798</v>
      </c>
      <c r="F56" s="33">
        <v>0</v>
      </c>
      <c r="G56" s="33">
        <f t="shared" si="8"/>
        <v>17798</v>
      </c>
      <c r="H56" s="33">
        <f>G56</f>
        <v>17798</v>
      </c>
      <c r="I56" s="33">
        <f t="shared" si="11"/>
        <v>9364.541666666668</v>
      </c>
      <c r="J56" s="33">
        <f>H56</f>
        <v>17798</v>
      </c>
      <c r="K56" s="42">
        <v>1079</v>
      </c>
      <c r="L56" s="42">
        <v>394</v>
      </c>
      <c r="M56" s="43"/>
    </row>
    <row r="57" spans="1:13" ht="15" hidden="1">
      <c r="A57" s="7">
        <v>41487</v>
      </c>
      <c r="B57" s="37">
        <f aca="true" t="shared" si="15" ref="B57:B79">$B$91/24</f>
        <v>27162.541666666668</v>
      </c>
      <c r="C57" s="33">
        <f aca="true" t="shared" si="16" ref="C57:C79">C56+B57</f>
        <v>54325.083333333336</v>
      </c>
      <c r="D57" s="33">
        <v>0</v>
      </c>
      <c r="E57" s="33">
        <v>9613</v>
      </c>
      <c r="F57" s="33">
        <v>0</v>
      </c>
      <c r="G57" s="33">
        <f t="shared" si="8"/>
        <v>9613</v>
      </c>
      <c r="H57" s="33">
        <f aca="true" t="shared" si="17" ref="H57:H62">G57+H56</f>
        <v>27411</v>
      </c>
      <c r="I57" s="33">
        <f t="shared" si="11"/>
        <v>26914.083333333336</v>
      </c>
      <c r="J57" s="33">
        <f>H57/2</f>
        <v>13705.5</v>
      </c>
      <c r="K57" s="42">
        <v>1097</v>
      </c>
      <c r="L57" s="42">
        <v>385</v>
      </c>
      <c r="M57" s="43"/>
    </row>
    <row r="58" spans="1:13" ht="15" hidden="1">
      <c r="A58" s="7">
        <v>41518</v>
      </c>
      <c r="B58" s="37">
        <f t="shared" si="15"/>
        <v>27162.541666666668</v>
      </c>
      <c r="C58" s="33">
        <f t="shared" si="16"/>
        <v>81487.625</v>
      </c>
      <c r="D58" s="33">
        <v>0</v>
      </c>
      <c r="E58" s="33">
        <v>5666</v>
      </c>
      <c r="F58" s="33">
        <v>0</v>
      </c>
      <c r="G58" s="33">
        <f t="shared" si="8"/>
        <v>5666</v>
      </c>
      <c r="H58" s="33">
        <f t="shared" si="17"/>
        <v>33077</v>
      </c>
      <c r="I58" s="33">
        <f t="shared" si="11"/>
        <v>48410.625</v>
      </c>
      <c r="J58" s="33">
        <f>H58/3</f>
        <v>11025.666666666666</v>
      </c>
      <c r="K58" s="42">
        <v>1105</v>
      </c>
      <c r="L58" s="42">
        <v>452</v>
      </c>
      <c r="M58" s="43"/>
    </row>
    <row r="59" spans="1:13" ht="15" hidden="1">
      <c r="A59" s="7">
        <v>41548</v>
      </c>
      <c r="B59" s="37">
        <f t="shared" si="15"/>
        <v>27162.541666666668</v>
      </c>
      <c r="C59" s="33">
        <f t="shared" si="16"/>
        <v>108650.16666666667</v>
      </c>
      <c r="D59" s="33">
        <v>0</v>
      </c>
      <c r="E59" s="33">
        <v>20071.19</v>
      </c>
      <c r="F59" s="33">
        <v>0</v>
      </c>
      <c r="G59" s="33">
        <f t="shared" si="8"/>
        <v>20071.19</v>
      </c>
      <c r="H59" s="33">
        <f t="shared" si="17"/>
        <v>53148.19</v>
      </c>
      <c r="I59" s="33">
        <f t="shared" si="11"/>
        <v>55501.97666666667</v>
      </c>
      <c r="J59" s="33">
        <f>H59/4</f>
        <v>13287.0475</v>
      </c>
      <c r="K59" s="42">
        <v>1092</v>
      </c>
      <c r="L59" s="42">
        <v>405</v>
      </c>
      <c r="M59" s="43"/>
    </row>
    <row r="60" spans="1:13" ht="15" hidden="1">
      <c r="A60" s="7">
        <v>41579</v>
      </c>
      <c r="B60" s="37">
        <f t="shared" si="15"/>
        <v>27162.541666666668</v>
      </c>
      <c r="C60" s="33">
        <f t="shared" si="16"/>
        <v>135812.70833333334</v>
      </c>
      <c r="D60" s="33">
        <v>0</v>
      </c>
      <c r="E60" s="33">
        <v>5590.97</v>
      </c>
      <c r="F60" s="33">
        <v>0</v>
      </c>
      <c r="G60" s="33">
        <f t="shared" si="8"/>
        <v>5590.97</v>
      </c>
      <c r="H60" s="33">
        <f t="shared" si="17"/>
        <v>58739.16</v>
      </c>
      <c r="I60" s="33">
        <f aca="true" t="shared" si="18" ref="I60:I65">C60-H60</f>
        <v>77073.54833333334</v>
      </c>
      <c r="J60" s="33">
        <f>H60/5</f>
        <v>11747.832</v>
      </c>
      <c r="K60" s="42">
        <v>1085</v>
      </c>
      <c r="L60" s="42">
        <v>411</v>
      </c>
      <c r="M60" s="43"/>
    </row>
    <row r="61" spans="1:13" ht="15" hidden="1">
      <c r="A61" s="7">
        <v>41609</v>
      </c>
      <c r="B61" s="37">
        <f t="shared" si="15"/>
        <v>27162.541666666668</v>
      </c>
      <c r="C61" s="33">
        <f t="shared" si="16"/>
        <v>162975.25</v>
      </c>
      <c r="D61" s="33">
        <v>0</v>
      </c>
      <c r="E61" s="33">
        <v>7944.2</v>
      </c>
      <c r="F61" s="33">
        <v>0</v>
      </c>
      <c r="G61" s="33">
        <f t="shared" si="8"/>
        <v>7944.2</v>
      </c>
      <c r="H61" s="33">
        <f t="shared" si="17"/>
        <v>66683.36</v>
      </c>
      <c r="I61" s="33">
        <f t="shared" si="18"/>
        <v>96291.89</v>
      </c>
      <c r="J61" s="33">
        <f>H61/6</f>
        <v>11113.893333333333</v>
      </c>
      <c r="K61" s="42">
        <v>1084</v>
      </c>
      <c r="L61" s="42">
        <v>332</v>
      </c>
      <c r="M61" s="43"/>
    </row>
    <row r="62" spans="1:13" ht="15" hidden="1">
      <c r="A62" s="7">
        <v>41640</v>
      </c>
      <c r="B62" s="37">
        <f t="shared" si="15"/>
        <v>27162.541666666668</v>
      </c>
      <c r="C62" s="33">
        <f t="shared" si="16"/>
        <v>190137.79166666666</v>
      </c>
      <c r="D62" s="33">
        <v>0</v>
      </c>
      <c r="E62" s="33">
        <v>20878.52</v>
      </c>
      <c r="F62" s="33">
        <v>0</v>
      </c>
      <c r="G62" s="33">
        <f t="shared" si="8"/>
        <v>20878.52</v>
      </c>
      <c r="H62" s="33">
        <f t="shared" si="17"/>
        <v>87561.88</v>
      </c>
      <c r="I62" s="33">
        <f t="shared" si="18"/>
        <v>102575.91166666665</v>
      </c>
      <c r="J62" s="33">
        <f>H62/7</f>
        <v>12508.84</v>
      </c>
      <c r="K62" s="42">
        <v>1110</v>
      </c>
      <c r="L62" s="42">
        <v>381</v>
      </c>
      <c r="M62" s="43"/>
    </row>
    <row r="63" spans="1:13" ht="15" hidden="1">
      <c r="A63" s="7">
        <v>41671</v>
      </c>
      <c r="B63" s="37">
        <f t="shared" si="15"/>
        <v>27162.541666666668</v>
      </c>
      <c r="C63" s="33">
        <f t="shared" si="16"/>
        <v>217300.3333333333</v>
      </c>
      <c r="D63" s="33">
        <v>0</v>
      </c>
      <c r="E63" s="33">
        <v>15646.07</v>
      </c>
      <c r="F63" s="33">
        <v>0</v>
      </c>
      <c r="G63" s="33">
        <f t="shared" si="8"/>
        <v>15646.07</v>
      </c>
      <c r="H63" s="33">
        <f aca="true" t="shared" si="19" ref="H63:H68">G63+H62</f>
        <v>103207.95000000001</v>
      </c>
      <c r="I63" s="33">
        <f t="shared" si="18"/>
        <v>114092.3833333333</v>
      </c>
      <c r="J63" s="33">
        <f>H63/8</f>
        <v>12900.993750000001</v>
      </c>
      <c r="K63" s="42">
        <v>1104</v>
      </c>
      <c r="L63" s="42">
        <v>406</v>
      </c>
      <c r="M63" s="43"/>
    </row>
    <row r="64" spans="1:13" ht="15" hidden="1">
      <c r="A64" s="7">
        <v>41699</v>
      </c>
      <c r="B64" s="37">
        <f t="shared" si="15"/>
        <v>27162.541666666668</v>
      </c>
      <c r="C64" s="33">
        <f t="shared" si="16"/>
        <v>244462.87499999997</v>
      </c>
      <c r="D64" s="33">
        <v>0</v>
      </c>
      <c r="E64" s="33">
        <v>9511.44</v>
      </c>
      <c r="F64" s="33">
        <v>0</v>
      </c>
      <c r="G64" s="33">
        <f t="shared" si="8"/>
        <v>9511.44</v>
      </c>
      <c r="H64" s="33">
        <f t="shared" si="19"/>
        <v>112719.39000000001</v>
      </c>
      <c r="I64" s="33">
        <f t="shared" si="18"/>
        <v>131743.48499999996</v>
      </c>
      <c r="J64" s="33">
        <f>H64/9</f>
        <v>12524.376666666669</v>
      </c>
      <c r="K64" s="42">
        <v>1072</v>
      </c>
      <c r="L64" s="42">
        <v>433</v>
      </c>
      <c r="M64" s="43"/>
    </row>
    <row r="65" spans="1:13" ht="15" hidden="1">
      <c r="A65" s="7">
        <v>41730</v>
      </c>
      <c r="B65" s="37">
        <f t="shared" si="15"/>
        <v>27162.541666666668</v>
      </c>
      <c r="C65" s="33">
        <f t="shared" si="16"/>
        <v>271625.4166666666</v>
      </c>
      <c r="D65" s="33">
        <v>0</v>
      </c>
      <c r="E65" s="33">
        <v>23617.12</v>
      </c>
      <c r="F65" s="33">
        <v>0</v>
      </c>
      <c r="G65" s="33">
        <f t="shared" si="8"/>
        <v>23617.12</v>
      </c>
      <c r="H65" s="33">
        <f t="shared" si="19"/>
        <v>136336.51</v>
      </c>
      <c r="I65" s="33">
        <f t="shared" si="18"/>
        <v>135288.90666666662</v>
      </c>
      <c r="J65" s="33">
        <f>H65/10</f>
        <v>13633.651000000002</v>
      </c>
      <c r="K65" s="42">
        <v>1047</v>
      </c>
      <c r="L65" s="42">
        <v>486</v>
      </c>
      <c r="M65" s="43"/>
    </row>
    <row r="66" spans="1:13" ht="15" hidden="1">
      <c r="A66" s="7">
        <v>41760</v>
      </c>
      <c r="B66" s="37">
        <f t="shared" si="15"/>
        <v>27162.541666666668</v>
      </c>
      <c r="C66" s="33">
        <f t="shared" si="16"/>
        <v>298787.9583333333</v>
      </c>
      <c r="D66" s="33">
        <v>0</v>
      </c>
      <c r="E66" s="33">
        <v>16956.08</v>
      </c>
      <c r="F66" s="33">
        <v>0</v>
      </c>
      <c r="G66" s="33">
        <f t="shared" si="8"/>
        <v>16956.08</v>
      </c>
      <c r="H66" s="33">
        <f t="shared" si="19"/>
        <v>153292.59000000003</v>
      </c>
      <c r="I66" s="33">
        <f aca="true" t="shared" si="20" ref="I66:I71">C66-H66</f>
        <v>145495.3683333333</v>
      </c>
      <c r="J66" s="33">
        <f>H66/11</f>
        <v>13935.690000000002</v>
      </c>
      <c r="K66" s="42">
        <v>1006</v>
      </c>
      <c r="L66" s="42">
        <v>523</v>
      </c>
      <c r="M66" s="43"/>
    </row>
    <row r="67" spans="1:13" ht="15" hidden="1">
      <c r="A67" s="7">
        <v>41791</v>
      </c>
      <c r="B67" s="37">
        <f t="shared" si="15"/>
        <v>27162.541666666668</v>
      </c>
      <c r="C67" s="33">
        <f t="shared" si="16"/>
        <v>325950.5</v>
      </c>
      <c r="D67" s="33">
        <v>0</v>
      </c>
      <c r="E67" s="33">
        <v>12809</v>
      </c>
      <c r="F67" s="33">
        <v>0</v>
      </c>
      <c r="G67" s="33">
        <f t="shared" si="8"/>
        <v>12809</v>
      </c>
      <c r="H67" s="33">
        <f t="shared" si="19"/>
        <v>166101.59000000003</v>
      </c>
      <c r="I67" s="33">
        <f t="shared" si="20"/>
        <v>159848.90999999997</v>
      </c>
      <c r="J67" s="33">
        <f>H67/12</f>
        <v>13841.79916666667</v>
      </c>
      <c r="K67" s="42">
        <v>946</v>
      </c>
      <c r="L67" s="42">
        <v>494</v>
      </c>
      <c r="M67" s="43"/>
    </row>
    <row r="68" spans="1:13" ht="15">
      <c r="A68" s="7">
        <v>41821</v>
      </c>
      <c r="B68" s="37">
        <f t="shared" si="15"/>
        <v>27162.541666666668</v>
      </c>
      <c r="C68" s="33">
        <f t="shared" si="16"/>
        <v>353113.0416666667</v>
      </c>
      <c r="D68" s="33">
        <v>0</v>
      </c>
      <c r="E68" s="33">
        <v>30991</v>
      </c>
      <c r="F68" s="33">
        <v>0</v>
      </c>
      <c r="G68" s="33">
        <f aca="true" t="shared" si="21" ref="G68:G74">D68+E68+F68</f>
        <v>30991</v>
      </c>
      <c r="H68" s="33">
        <f t="shared" si="19"/>
        <v>197092.59000000003</v>
      </c>
      <c r="I68" s="33">
        <f t="shared" si="20"/>
        <v>156020.45166666666</v>
      </c>
      <c r="J68" s="33">
        <f>H68/13</f>
        <v>15160.968461538463</v>
      </c>
      <c r="K68" s="42">
        <v>925</v>
      </c>
      <c r="L68" s="42">
        <v>466</v>
      </c>
      <c r="M68" s="43"/>
    </row>
    <row r="69" spans="1:13" ht="15">
      <c r="A69" s="7">
        <v>41852</v>
      </c>
      <c r="B69" s="37">
        <f t="shared" si="15"/>
        <v>27162.541666666668</v>
      </c>
      <c r="C69" s="33">
        <f t="shared" si="16"/>
        <v>380275.5833333334</v>
      </c>
      <c r="D69" s="33">
        <v>0</v>
      </c>
      <c r="E69" s="33">
        <v>15174</v>
      </c>
      <c r="F69" s="33">
        <v>0</v>
      </c>
      <c r="G69" s="33">
        <f t="shared" si="21"/>
        <v>15174</v>
      </c>
      <c r="H69" s="33">
        <f aca="true" t="shared" si="22" ref="H69:H74">G69+H68</f>
        <v>212266.59000000003</v>
      </c>
      <c r="I69" s="33">
        <f t="shared" si="20"/>
        <v>168008.99333333335</v>
      </c>
      <c r="J69" s="33">
        <f>H69/14</f>
        <v>15161.899285714288</v>
      </c>
      <c r="K69" s="42">
        <v>930</v>
      </c>
      <c r="L69" s="42">
        <v>524</v>
      </c>
      <c r="M69" s="43"/>
    </row>
    <row r="70" spans="1:13" ht="15">
      <c r="A70" s="7">
        <v>41883</v>
      </c>
      <c r="B70" s="37">
        <f t="shared" si="15"/>
        <v>27162.541666666668</v>
      </c>
      <c r="C70" s="33">
        <f t="shared" si="16"/>
        <v>407438.12500000006</v>
      </c>
      <c r="D70" s="33">
        <v>0</v>
      </c>
      <c r="E70" s="33">
        <v>22151</v>
      </c>
      <c r="F70" s="33">
        <v>0</v>
      </c>
      <c r="G70" s="33">
        <f t="shared" si="21"/>
        <v>22151</v>
      </c>
      <c r="H70" s="33">
        <f t="shared" si="22"/>
        <v>234417.59000000003</v>
      </c>
      <c r="I70" s="33">
        <f t="shared" si="20"/>
        <v>173020.53500000003</v>
      </c>
      <c r="J70" s="33">
        <f>H70/15</f>
        <v>15627.839333333335</v>
      </c>
      <c r="K70" s="42">
        <v>891</v>
      </c>
      <c r="L70" s="42">
        <v>516</v>
      </c>
      <c r="M70" s="43"/>
    </row>
    <row r="71" spans="1:13" ht="15">
      <c r="A71" s="7">
        <v>41913</v>
      </c>
      <c r="B71" s="37">
        <f t="shared" si="15"/>
        <v>27162.541666666668</v>
      </c>
      <c r="C71" s="33">
        <f t="shared" si="16"/>
        <v>434600.66666666674</v>
      </c>
      <c r="D71" s="33">
        <v>0</v>
      </c>
      <c r="E71" s="33">
        <v>30831</v>
      </c>
      <c r="F71" s="33">
        <v>0</v>
      </c>
      <c r="G71" s="33">
        <f t="shared" si="21"/>
        <v>30831</v>
      </c>
      <c r="H71" s="33">
        <f t="shared" si="22"/>
        <v>265248.59</v>
      </c>
      <c r="I71" s="33">
        <f t="shared" si="20"/>
        <v>169352.07666666672</v>
      </c>
      <c r="J71" s="33">
        <f>H71/16</f>
        <v>16578.036875</v>
      </c>
      <c r="K71" s="42">
        <v>883</v>
      </c>
      <c r="L71" s="42">
        <v>471</v>
      </c>
      <c r="M71" s="43"/>
    </row>
    <row r="72" spans="1:13" ht="15">
      <c r="A72" s="7">
        <v>41944</v>
      </c>
      <c r="B72" s="37">
        <f t="shared" si="15"/>
        <v>27162.541666666668</v>
      </c>
      <c r="C72" s="33">
        <f t="shared" si="16"/>
        <v>461763.20833333343</v>
      </c>
      <c r="D72" s="33">
        <v>0</v>
      </c>
      <c r="E72" s="33">
        <v>13392</v>
      </c>
      <c r="F72" s="33">
        <v>0</v>
      </c>
      <c r="G72" s="33">
        <f t="shared" si="21"/>
        <v>13392</v>
      </c>
      <c r="H72" s="33">
        <f t="shared" si="22"/>
        <v>278640.59</v>
      </c>
      <c r="I72" s="33">
        <f>C72-H72</f>
        <v>183122.6183333334</v>
      </c>
      <c r="J72" s="33">
        <f>H72/17</f>
        <v>16390.622941176473</v>
      </c>
      <c r="K72" s="42">
        <v>876</v>
      </c>
      <c r="L72" s="42">
        <v>527</v>
      </c>
      <c r="M72" s="43"/>
    </row>
    <row r="73" spans="1:13" ht="15">
      <c r="A73" s="7">
        <v>41974</v>
      </c>
      <c r="B73" s="37">
        <f t="shared" si="15"/>
        <v>27162.541666666668</v>
      </c>
      <c r="C73" s="33">
        <f t="shared" si="16"/>
        <v>488925.7500000001</v>
      </c>
      <c r="D73" s="33">
        <v>0</v>
      </c>
      <c r="E73" s="33">
        <v>18192</v>
      </c>
      <c r="F73" s="33">
        <v>0</v>
      </c>
      <c r="G73" s="33">
        <f t="shared" si="21"/>
        <v>18192</v>
      </c>
      <c r="H73" s="33">
        <f t="shared" si="22"/>
        <v>296832.59</v>
      </c>
      <c r="I73" s="33">
        <f>C73-H73</f>
        <v>192093.1600000001</v>
      </c>
      <c r="J73" s="33">
        <f>H73/18</f>
        <v>16490.699444444446</v>
      </c>
      <c r="K73" s="42">
        <v>897</v>
      </c>
      <c r="L73" s="42">
        <v>444</v>
      </c>
      <c r="M73" s="43"/>
    </row>
    <row r="74" spans="1:13" ht="15">
      <c r="A74" s="7">
        <v>42005</v>
      </c>
      <c r="B74" s="37">
        <f t="shared" si="15"/>
        <v>27162.541666666668</v>
      </c>
      <c r="C74" s="33">
        <f t="shared" si="16"/>
        <v>516088.2916666668</v>
      </c>
      <c r="D74" s="33">
        <v>0</v>
      </c>
      <c r="E74" s="33">
        <v>24406</v>
      </c>
      <c r="F74" s="33">
        <v>0</v>
      </c>
      <c r="G74" s="33">
        <f t="shared" si="21"/>
        <v>24406</v>
      </c>
      <c r="H74" s="33">
        <f t="shared" si="22"/>
        <v>321238.59</v>
      </c>
      <c r="I74" s="33">
        <f>C74-H74</f>
        <v>194849.70166666678</v>
      </c>
      <c r="J74" s="33">
        <f>H74/19</f>
        <v>16907.294210526317</v>
      </c>
      <c r="K74" s="42">
        <v>892</v>
      </c>
      <c r="L74" s="42">
        <v>497</v>
      </c>
      <c r="M74" s="43"/>
    </row>
    <row r="75" spans="1:13" ht="15">
      <c r="A75" s="7">
        <v>42036</v>
      </c>
      <c r="B75" s="37">
        <f t="shared" si="15"/>
        <v>27162.541666666668</v>
      </c>
      <c r="C75" s="33">
        <f t="shared" si="16"/>
        <v>543250.8333333335</v>
      </c>
      <c r="D75" s="33"/>
      <c r="E75" s="33"/>
      <c r="F75" s="33"/>
      <c r="G75" s="33"/>
      <c r="H75" s="33"/>
      <c r="I75" s="33"/>
      <c r="J75" s="33"/>
      <c r="K75" s="42"/>
      <c r="L75" s="42"/>
      <c r="M75" s="43"/>
    </row>
    <row r="76" spans="1:13" ht="15">
      <c r="A76" s="7">
        <v>42064</v>
      </c>
      <c r="B76" s="37">
        <f t="shared" si="15"/>
        <v>27162.541666666668</v>
      </c>
      <c r="C76" s="33">
        <f t="shared" si="16"/>
        <v>570413.3750000001</v>
      </c>
      <c r="D76" s="33"/>
      <c r="E76" s="33"/>
      <c r="F76" s="33"/>
      <c r="G76" s="33"/>
      <c r="H76" s="33"/>
      <c r="I76" s="33"/>
      <c r="J76" s="33"/>
      <c r="K76" s="42"/>
      <c r="L76" s="42"/>
      <c r="M76" s="43"/>
    </row>
    <row r="77" spans="1:13" ht="15">
      <c r="A77" s="7">
        <v>42095</v>
      </c>
      <c r="B77" s="37">
        <f t="shared" si="15"/>
        <v>27162.541666666668</v>
      </c>
      <c r="C77" s="33">
        <f t="shared" si="16"/>
        <v>597575.9166666667</v>
      </c>
      <c r="D77" s="33"/>
      <c r="E77" s="33"/>
      <c r="F77" s="33"/>
      <c r="G77" s="33"/>
      <c r="H77" s="33"/>
      <c r="I77" s="33"/>
      <c r="J77" s="33"/>
      <c r="K77" s="42"/>
      <c r="L77" s="42"/>
      <c r="M77" s="43"/>
    </row>
    <row r="78" spans="1:13" ht="15">
      <c r="A78" s="7">
        <v>42125</v>
      </c>
      <c r="B78" s="37">
        <f t="shared" si="15"/>
        <v>27162.541666666668</v>
      </c>
      <c r="C78" s="33">
        <f t="shared" si="16"/>
        <v>624738.4583333334</v>
      </c>
      <c r="D78" s="33"/>
      <c r="E78" s="33"/>
      <c r="F78" s="33"/>
      <c r="G78" s="33"/>
      <c r="H78" s="33"/>
      <c r="I78" s="33"/>
      <c r="J78" s="33"/>
      <c r="K78" s="42"/>
      <c r="L78" s="42"/>
      <c r="M78" s="43"/>
    </row>
    <row r="79" spans="1:13" ht="15">
      <c r="A79" s="7">
        <v>42156</v>
      </c>
      <c r="B79" s="37">
        <f t="shared" si="15"/>
        <v>27162.541666666668</v>
      </c>
      <c r="C79" s="33">
        <f t="shared" si="16"/>
        <v>651901</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1353631</v>
      </c>
      <c r="C81" s="25">
        <f>SUM(B8:B19)</f>
        <v>1353631</v>
      </c>
      <c r="D81" s="25">
        <f>SUM(D8:D19)</f>
        <v>166950</v>
      </c>
      <c r="E81" s="25">
        <f>SUM(E8:E19)</f>
        <v>1101633</v>
      </c>
      <c r="F81" s="25"/>
      <c r="G81" s="25">
        <f>SUM(G8:G19)</f>
        <v>1268583</v>
      </c>
      <c r="H81" s="25">
        <f>G81</f>
        <v>1268583</v>
      </c>
      <c r="I81" s="25">
        <f>I19</f>
        <v>85048</v>
      </c>
      <c r="J81" s="25">
        <f>J19</f>
        <v>112992.4</v>
      </c>
      <c r="K81" s="30">
        <f>SUM(K8:K19)</f>
        <v>7637</v>
      </c>
      <c r="L81" s="30">
        <f>SUM(L8:L19)</f>
        <v>9688</v>
      </c>
      <c r="M81" s="30">
        <f>SUM(M8:M19)</f>
        <v>810</v>
      </c>
    </row>
    <row r="82" spans="1:13" ht="15" hidden="1">
      <c r="A82" s="20" t="s">
        <v>22</v>
      </c>
      <c r="B82" s="25">
        <v>1366351</v>
      </c>
      <c r="C82" s="25">
        <f>C31</f>
        <v>1366351.0000000002</v>
      </c>
      <c r="D82" s="25">
        <f>SUM(D20:D31)</f>
        <v>115313</v>
      </c>
      <c r="E82" s="25">
        <f>SUM(E20:E31)</f>
        <v>1224051</v>
      </c>
      <c r="F82" s="25"/>
      <c r="G82" s="25">
        <f>SUM(G20:G31)</f>
        <v>1339364</v>
      </c>
      <c r="H82" s="25">
        <f>G82</f>
        <v>1339364</v>
      </c>
      <c r="I82" s="25">
        <f>I31</f>
        <v>26987.000000000233</v>
      </c>
      <c r="J82" s="25">
        <f>AVERAGE(G20:G31)</f>
        <v>111613.66666666667</v>
      </c>
      <c r="K82" s="30">
        <f>SUM(K20:K31)</f>
        <v>10391</v>
      </c>
      <c r="L82" s="30">
        <f>SUM(L20:L31)</f>
        <v>11242</v>
      </c>
      <c r="M82" s="30">
        <f>SUM(M20:M31)</f>
        <v>2141</v>
      </c>
    </row>
    <row r="83" spans="1:13" ht="15" hidden="1">
      <c r="A83" s="20" t="s">
        <v>23</v>
      </c>
      <c r="B83" s="25">
        <f>SUM(B81:B82)</f>
        <v>2719982</v>
      </c>
      <c r="C83" s="25">
        <f>SUM(C81:C82)</f>
        <v>2719982</v>
      </c>
      <c r="D83" s="25">
        <f>D81+D82</f>
        <v>282263</v>
      </c>
      <c r="E83" s="25">
        <f>E81+E82</f>
        <v>2325684</v>
      </c>
      <c r="F83" s="25"/>
      <c r="G83" s="25">
        <f>G81+G82</f>
        <v>2607947</v>
      </c>
      <c r="H83" s="25">
        <f>H81+H82</f>
        <v>2607947</v>
      </c>
      <c r="I83" s="25"/>
      <c r="J83" s="25">
        <f>AVERAGE(G8:G31)</f>
        <v>108664.45833333333</v>
      </c>
      <c r="K83" s="27">
        <f>SUM(K81:K82)</f>
        <v>18028</v>
      </c>
      <c r="L83" s="27">
        <f>SUM(L81:L82)</f>
        <v>20930</v>
      </c>
      <c r="M83" s="27">
        <f>SUM(M81:M82)</f>
        <v>2951</v>
      </c>
    </row>
    <row r="84" spans="1:12" ht="15" hidden="1">
      <c r="A84" s="20"/>
      <c r="B84" s="25"/>
      <c r="C84" s="25"/>
      <c r="D84" s="25"/>
      <c r="E84" s="25"/>
      <c r="F84" s="25"/>
      <c r="G84" s="25"/>
      <c r="H84" s="25"/>
      <c r="I84" s="25"/>
      <c r="J84" s="25"/>
      <c r="K84" s="27"/>
      <c r="L84" s="27"/>
    </row>
    <row r="85" spans="1:13" ht="15" hidden="1">
      <c r="A85" s="20" t="s">
        <v>24</v>
      </c>
      <c r="B85" s="25">
        <v>291877</v>
      </c>
      <c r="C85" s="25">
        <f>C43</f>
        <v>291877</v>
      </c>
      <c r="D85" s="25">
        <f>SUM(D32:D43)</f>
        <v>0</v>
      </c>
      <c r="E85" s="25">
        <f>SUM(E32:E43)</f>
        <v>55503</v>
      </c>
      <c r="F85" s="25">
        <f>SUM(F32:F67)</f>
        <v>50</v>
      </c>
      <c r="G85" s="25">
        <f>SUM(G32:G43)</f>
        <v>55553</v>
      </c>
      <c r="H85" s="25">
        <f>G85</f>
        <v>55553</v>
      </c>
      <c r="I85" s="25">
        <f>I43</f>
        <v>236324</v>
      </c>
      <c r="J85" s="25">
        <f>AVERAGE(G32:G43)</f>
        <v>4629.416666666667</v>
      </c>
      <c r="K85" s="30">
        <f>SUM(K32:K43)</f>
        <v>15145</v>
      </c>
      <c r="L85" s="30">
        <f>SUM(L32:L43)</f>
        <v>4541</v>
      </c>
      <c r="M85" s="4">
        <f>SUM(M32:M43)</f>
        <v>1073</v>
      </c>
    </row>
    <row r="86" spans="1:13" ht="15" hidden="1">
      <c r="A86" s="20" t="s">
        <v>25</v>
      </c>
      <c r="B86" s="25">
        <v>434325</v>
      </c>
      <c r="C86" s="25">
        <f>SUM(B44:B55)</f>
        <v>438589.0833333333</v>
      </c>
      <c r="D86" s="25">
        <f>SUM(D44:D55)</f>
        <v>0</v>
      </c>
      <c r="E86" s="25">
        <f>SUM(E44:E55)</f>
        <v>159637</v>
      </c>
      <c r="F86" s="25">
        <f>SUM(F44:F55)</f>
        <v>0</v>
      </c>
      <c r="G86" s="25">
        <f>SUM(G44:G55)</f>
        <v>159637</v>
      </c>
      <c r="H86" s="25">
        <f>G86</f>
        <v>159637</v>
      </c>
      <c r="I86" s="25">
        <f>I55</f>
        <v>278952.0833333333</v>
      </c>
      <c r="J86" s="25">
        <f>J55</f>
        <v>13303.083333333334</v>
      </c>
      <c r="K86" s="30">
        <f>SUM(K44:K55)</f>
        <v>5758</v>
      </c>
      <c r="L86" s="30">
        <f>SUM(L44:L55)</f>
        <v>1592</v>
      </c>
      <c r="M86" s="44">
        <f>SUM(M44:M55)</f>
        <v>0</v>
      </c>
    </row>
    <row r="87" spans="1:13" ht="15" hidden="1">
      <c r="A87" s="20" t="s">
        <v>26</v>
      </c>
      <c r="B87" s="25">
        <f>B85+B86</f>
        <v>726202</v>
      </c>
      <c r="C87" s="25">
        <f aca="true" t="shared" si="23" ref="C87:M87">SUM(C85:C86)</f>
        <v>730466.0833333333</v>
      </c>
      <c r="D87" s="25">
        <f t="shared" si="23"/>
        <v>0</v>
      </c>
      <c r="E87" s="25">
        <f t="shared" si="23"/>
        <v>215140</v>
      </c>
      <c r="F87" s="25">
        <f t="shared" si="23"/>
        <v>50</v>
      </c>
      <c r="G87" s="25">
        <f t="shared" si="23"/>
        <v>215190</v>
      </c>
      <c r="H87" s="25">
        <f t="shared" si="23"/>
        <v>215190</v>
      </c>
      <c r="I87" s="25">
        <f t="shared" si="23"/>
        <v>515276.0833333333</v>
      </c>
      <c r="J87" s="25">
        <f t="shared" si="23"/>
        <v>17932.5</v>
      </c>
      <c r="K87" s="27">
        <f t="shared" si="23"/>
        <v>20903</v>
      </c>
      <c r="L87" s="27">
        <f t="shared" si="23"/>
        <v>6133</v>
      </c>
      <c r="M87" s="27">
        <f t="shared" si="23"/>
        <v>1073</v>
      </c>
    </row>
    <row r="88" spans="1:13" ht="15" hidden="1">
      <c r="A88" s="20"/>
      <c r="B88" s="25"/>
      <c r="C88" s="25"/>
      <c r="D88" s="25"/>
      <c r="E88" s="25"/>
      <c r="F88" s="25"/>
      <c r="G88" s="25"/>
      <c r="H88" s="25"/>
      <c r="I88" s="25"/>
      <c r="J88" s="25"/>
      <c r="K88" s="27"/>
      <c r="L88" s="27"/>
      <c r="M88" s="27"/>
    </row>
    <row r="89" spans="1:13" s="56" customFormat="1" ht="18" hidden="1">
      <c r="A89" s="52" t="s">
        <v>27</v>
      </c>
      <c r="B89" s="53">
        <f>730954/2</f>
        <v>365477</v>
      </c>
      <c r="C89" s="53">
        <f>C67</f>
        <v>325950.5</v>
      </c>
      <c r="D89" s="53">
        <f>SUM(D56:D67)</f>
        <v>0</v>
      </c>
      <c r="E89" s="53">
        <f>SUM(E56:E67)</f>
        <v>166101.59000000003</v>
      </c>
      <c r="F89" s="53">
        <f>SUM(F56:F67)</f>
        <v>0</v>
      </c>
      <c r="G89" s="53">
        <f>SUM(G56:G67)</f>
        <v>166101.59000000003</v>
      </c>
      <c r="H89" s="53">
        <f aca="true" t="shared" si="24" ref="H89:J90">H67</f>
        <v>166101.59000000003</v>
      </c>
      <c r="I89" s="53">
        <f t="shared" si="24"/>
        <v>159848.90999999997</v>
      </c>
      <c r="J89" s="53">
        <f t="shared" si="24"/>
        <v>13841.79916666667</v>
      </c>
      <c r="K89" s="54">
        <f>SUM(K56:K67)</f>
        <v>12827</v>
      </c>
      <c r="L89" s="54">
        <f>SUM(L56:L67)</f>
        <v>5102</v>
      </c>
      <c r="M89" s="55"/>
    </row>
    <row r="90" spans="1:13" s="56" customFormat="1" ht="18" hidden="1">
      <c r="A90" s="52" t="s">
        <v>28</v>
      </c>
      <c r="B90" s="53">
        <f>730954/2</f>
        <v>365477</v>
      </c>
      <c r="C90" s="53">
        <v>365477.00000000006</v>
      </c>
      <c r="D90" s="53">
        <f>SUM(D68:D79)</f>
        <v>0</v>
      </c>
      <c r="E90" s="53">
        <f>SUM(E68:E79)</f>
        <v>155137</v>
      </c>
      <c r="F90" s="53">
        <f>SUM(F68:F79)</f>
        <v>0</v>
      </c>
      <c r="G90" s="53">
        <f>SUM(G68:G79)</f>
        <v>155137</v>
      </c>
      <c r="H90" s="53">
        <f t="shared" si="24"/>
        <v>197092.59000000003</v>
      </c>
      <c r="I90" s="53">
        <f t="shared" si="24"/>
        <v>156020.45166666666</v>
      </c>
      <c r="J90" s="53">
        <f t="shared" si="24"/>
        <v>15160.968461538463</v>
      </c>
      <c r="K90" s="54">
        <f>SUM(K68:K79)</f>
        <v>6294</v>
      </c>
      <c r="L90" s="54">
        <f>SUM(L68:L79)</f>
        <v>3445</v>
      </c>
      <c r="M90" s="55"/>
    </row>
    <row r="91" spans="1:13" ht="18">
      <c r="A91" s="20" t="s">
        <v>29</v>
      </c>
      <c r="B91" s="8">
        <v>651901</v>
      </c>
      <c r="C91" s="8">
        <f>C79</f>
        <v>651901</v>
      </c>
      <c r="D91" s="8">
        <f aca="true" t="shared" si="25" ref="D91:L91">D89+D90</f>
        <v>0</v>
      </c>
      <c r="E91" s="8">
        <f t="shared" si="25"/>
        <v>321238.59</v>
      </c>
      <c r="F91" s="8">
        <f t="shared" si="25"/>
        <v>0</v>
      </c>
      <c r="G91" s="8">
        <f t="shared" si="25"/>
        <v>321238.59</v>
      </c>
      <c r="H91" s="8">
        <f>H74</f>
        <v>321238.59</v>
      </c>
      <c r="I91" s="8">
        <f>I74</f>
        <v>194849.70166666678</v>
      </c>
      <c r="J91" s="8">
        <f>J74</f>
        <v>16907.294210526317</v>
      </c>
      <c r="K91" s="9">
        <f t="shared" si="25"/>
        <v>19121</v>
      </c>
      <c r="L91" s="9">
        <f t="shared" si="25"/>
        <v>8547</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101"/>
  <sheetViews>
    <sheetView zoomScale="70" zoomScaleNormal="70" zoomScalePageLayoutView="0" workbookViewId="0" topLeftCell="A1">
      <pane xSplit="1" ySplit="7" topLeftCell="B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6.00390625" style="4" customWidth="1"/>
    <col min="3" max="3" width="18.140625" style="4" customWidth="1"/>
    <col min="4" max="4" width="16.7109375" style="4" customWidth="1"/>
    <col min="5" max="5" width="20.421875" style="4" customWidth="1"/>
    <col min="6" max="6" width="18.57421875" style="4" customWidth="1"/>
    <col min="7" max="7" width="16.7109375" style="4" customWidth="1"/>
    <col min="8" max="8" width="17.8515625" style="4" customWidth="1"/>
    <col min="9" max="9" width="15.7109375" style="4" customWidth="1"/>
    <col min="10" max="10" width="16.140625" style="4" customWidth="1"/>
    <col min="11" max="11" width="14.28125" style="4" customWidth="1"/>
    <col min="12" max="12" width="14.7109375" style="4" customWidth="1"/>
    <col min="13" max="13" width="9.00390625" style="4" hidden="1" customWidth="1"/>
  </cols>
  <sheetData>
    <row r="1" spans="1:10" ht="18">
      <c r="A1" s="1" t="s">
        <v>0</v>
      </c>
      <c r="B1" s="2"/>
      <c r="C1" s="3"/>
      <c r="D1" s="3"/>
      <c r="E1" s="3"/>
      <c r="F1" s="3"/>
      <c r="G1" s="2"/>
      <c r="H1" s="2"/>
      <c r="I1" s="2"/>
      <c r="J1" s="2"/>
    </row>
    <row r="2" spans="1:2" ht="18">
      <c r="A2" s="5" t="s">
        <v>1</v>
      </c>
      <c r="B2" s="6">
        <v>5</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1:10" ht="15">
      <c r="A7" s="20"/>
      <c r="B7" s="29"/>
      <c r="C7" s="29"/>
      <c r="D7" s="29"/>
      <c r="E7" s="29"/>
      <c r="F7" s="29"/>
      <c r="G7" s="29"/>
      <c r="H7" s="29"/>
      <c r="I7" s="29"/>
      <c r="J7" s="29"/>
    </row>
    <row r="8" spans="1:12" ht="15" hidden="1">
      <c r="A8" s="7">
        <v>39264</v>
      </c>
      <c r="B8" s="25">
        <f aca="true" t="shared" si="0" ref="B8:B19">$B$81/12</f>
        <v>182153.66666666666</v>
      </c>
      <c r="C8" s="25">
        <f>B8</f>
        <v>182153.66666666666</v>
      </c>
      <c r="D8" s="25">
        <v>18784</v>
      </c>
      <c r="E8" s="25">
        <v>152004</v>
      </c>
      <c r="F8" s="25"/>
      <c r="G8" s="25">
        <f aca="true" t="shared" si="1" ref="G8:G32">D8+E8</f>
        <v>170788</v>
      </c>
      <c r="H8" s="25">
        <f>G8</f>
        <v>170788</v>
      </c>
      <c r="I8" s="25">
        <f aca="true" t="shared" si="2" ref="I8:I39">C8-H8</f>
        <v>11365.666666666657</v>
      </c>
      <c r="J8" s="25">
        <f>H8</f>
        <v>170788</v>
      </c>
      <c r="K8" s="30">
        <v>710</v>
      </c>
      <c r="L8" s="30">
        <v>921</v>
      </c>
    </row>
    <row r="9" spans="1:12" ht="15" hidden="1">
      <c r="A9" s="7">
        <v>39295</v>
      </c>
      <c r="B9" s="25">
        <f t="shared" si="0"/>
        <v>182153.66666666666</v>
      </c>
      <c r="C9" s="25">
        <f aca="true" t="shared" si="3" ref="C9:C19">C8+B9</f>
        <v>364307.3333333333</v>
      </c>
      <c r="D9" s="25">
        <v>20204</v>
      </c>
      <c r="E9" s="25">
        <v>190338</v>
      </c>
      <c r="F9" s="25"/>
      <c r="G9" s="25">
        <f t="shared" si="1"/>
        <v>210542</v>
      </c>
      <c r="H9" s="25">
        <f aca="true" t="shared" si="4" ref="H9:H19">H8+G9</f>
        <v>381330</v>
      </c>
      <c r="I9" s="25">
        <f t="shared" si="2"/>
        <v>-17022.666666666686</v>
      </c>
      <c r="J9" s="25">
        <f>AVERAGE(G8:G9)</f>
        <v>190665</v>
      </c>
      <c r="K9" s="30">
        <v>747</v>
      </c>
      <c r="L9" s="30">
        <v>894</v>
      </c>
    </row>
    <row r="10" spans="1:12" ht="15" hidden="1">
      <c r="A10" s="7">
        <v>39326</v>
      </c>
      <c r="B10" s="25">
        <f t="shared" si="0"/>
        <v>182153.66666666666</v>
      </c>
      <c r="C10" s="25">
        <f t="shared" si="3"/>
        <v>546461</v>
      </c>
      <c r="D10" s="25">
        <v>18247</v>
      </c>
      <c r="E10" s="25">
        <v>145487</v>
      </c>
      <c r="F10" s="25"/>
      <c r="G10" s="25">
        <f t="shared" si="1"/>
        <v>163734</v>
      </c>
      <c r="H10" s="25">
        <f t="shared" si="4"/>
        <v>545064</v>
      </c>
      <c r="I10" s="25">
        <f t="shared" si="2"/>
        <v>1397</v>
      </c>
      <c r="J10" s="25">
        <f>AVERAGE(G8:G10)</f>
        <v>181688</v>
      </c>
      <c r="K10" s="30">
        <v>830</v>
      </c>
      <c r="L10" s="30">
        <v>1138</v>
      </c>
    </row>
    <row r="11" spans="1:13" ht="15" hidden="1">
      <c r="A11" s="7">
        <v>39356</v>
      </c>
      <c r="B11" s="25">
        <f t="shared" si="0"/>
        <v>182153.66666666666</v>
      </c>
      <c r="C11" s="25">
        <f t="shared" si="3"/>
        <v>728614.6666666666</v>
      </c>
      <c r="D11" s="25">
        <v>21935</v>
      </c>
      <c r="E11" s="25">
        <v>157489</v>
      </c>
      <c r="F11" s="25"/>
      <c r="G11" s="25">
        <f t="shared" si="1"/>
        <v>179424</v>
      </c>
      <c r="H11" s="25">
        <f t="shared" si="4"/>
        <v>724488</v>
      </c>
      <c r="I11" s="25">
        <f t="shared" si="2"/>
        <v>4126.666666666628</v>
      </c>
      <c r="J11" s="25">
        <f>AVERAGE(G8:G11)</f>
        <v>181122</v>
      </c>
      <c r="K11" s="30">
        <v>823</v>
      </c>
      <c r="L11" s="30">
        <v>880</v>
      </c>
      <c r="M11" s="29">
        <v>18</v>
      </c>
    </row>
    <row r="12" spans="1:13" ht="15" hidden="1">
      <c r="A12" s="7">
        <v>39387</v>
      </c>
      <c r="B12" s="25">
        <f t="shared" si="0"/>
        <v>182153.66666666666</v>
      </c>
      <c r="C12" s="25">
        <f t="shared" si="3"/>
        <v>910768.3333333333</v>
      </c>
      <c r="D12" s="25">
        <v>23506</v>
      </c>
      <c r="E12" s="25">
        <v>188816</v>
      </c>
      <c r="F12" s="25"/>
      <c r="G12" s="25">
        <f t="shared" si="1"/>
        <v>212322</v>
      </c>
      <c r="H12" s="25">
        <f t="shared" si="4"/>
        <v>936810</v>
      </c>
      <c r="I12" s="25">
        <f t="shared" si="2"/>
        <v>-26041.666666666744</v>
      </c>
      <c r="J12" s="25">
        <f>AVERAGE(G8:G12)</f>
        <v>187362</v>
      </c>
      <c r="K12" s="30">
        <v>818</v>
      </c>
      <c r="L12" s="30">
        <v>909</v>
      </c>
      <c r="M12" s="29">
        <v>63</v>
      </c>
    </row>
    <row r="13" spans="1:13" ht="15" hidden="1">
      <c r="A13" s="7">
        <v>39417</v>
      </c>
      <c r="B13" s="25">
        <f t="shared" si="0"/>
        <v>182153.66666666666</v>
      </c>
      <c r="C13" s="25">
        <f t="shared" si="3"/>
        <v>1092922</v>
      </c>
      <c r="D13" s="25">
        <v>16501</v>
      </c>
      <c r="E13" s="25">
        <v>189807</v>
      </c>
      <c r="F13" s="25"/>
      <c r="G13" s="25">
        <f t="shared" si="1"/>
        <v>206308</v>
      </c>
      <c r="H13" s="25">
        <f t="shared" si="4"/>
        <v>1143118</v>
      </c>
      <c r="I13" s="25">
        <f t="shared" si="2"/>
        <v>-50196</v>
      </c>
      <c r="J13" s="25">
        <f>AVERAGE(G12:G13)</f>
        <v>209315</v>
      </c>
      <c r="K13" s="30">
        <v>867</v>
      </c>
      <c r="L13" s="30">
        <v>1040</v>
      </c>
      <c r="M13" s="29">
        <v>130</v>
      </c>
    </row>
    <row r="14" spans="1:13" ht="15" hidden="1">
      <c r="A14" s="7">
        <v>39448</v>
      </c>
      <c r="B14" s="25">
        <f t="shared" si="0"/>
        <v>182153.66666666666</v>
      </c>
      <c r="C14" s="25">
        <f t="shared" si="3"/>
        <v>1275075.6666666667</v>
      </c>
      <c r="D14" s="25">
        <v>23839</v>
      </c>
      <c r="E14" s="25">
        <v>146745</v>
      </c>
      <c r="F14" s="25"/>
      <c r="G14" s="25">
        <f t="shared" si="1"/>
        <v>170584</v>
      </c>
      <c r="H14" s="25">
        <f t="shared" si="4"/>
        <v>1313702</v>
      </c>
      <c r="I14" s="25">
        <f t="shared" si="2"/>
        <v>-38626.333333333256</v>
      </c>
      <c r="J14" s="25">
        <f>AVERAGE(G12:G14)</f>
        <v>196404.66666666666</v>
      </c>
      <c r="K14" s="30">
        <v>971</v>
      </c>
      <c r="L14" s="30">
        <v>1106</v>
      </c>
      <c r="M14" s="29">
        <v>163</v>
      </c>
    </row>
    <row r="15" spans="1:13" ht="15" hidden="1">
      <c r="A15" s="7">
        <v>39479</v>
      </c>
      <c r="B15" s="25">
        <f t="shared" si="0"/>
        <v>182153.66666666666</v>
      </c>
      <c r="C15" s="25">
        <f t="shared" si="3"/>
        <v>1457229.3333333335</v>
      </c>
      <c r="D15" s="25">
        <v>15540</v>
      </c>
      <c r="E15" s="25">
        <v>189580</v>
      </c>
      <c r="F15" s="25"/>
      <c r="G15" s="25">
        <f t="shared" si="1"/>
        <v>205120</v>
      </c>
      <c r="H15" s="25">
        <f t="shared" si="4"/>
        <v>1518822</v>
      </c>
      <c r="I15" s="25">
        <f t="shared" si="2"/>
        <v>-61592.66666666651</v>
      </c>
      <c r="J15" s="25">
        <f>AVERAGE(G12:G15)</f>
        <v>198583.5</v>
      </c>
      <c r="K15" s="30">
        <v>997</v>
      </c>
      <c r="L15" s="30">
        <v>1131</v>
      </c>
      <c r="M15" s="29">
        <v>207</v>
      </c>
    </row>
    <row r="16" spans="1:13" ht="15" hidden="1">
      <c r="A16" s="7">
        <v>39508</v>
      </c>
      <c r="B16" s="25">
        <f t="shared" si="0"/>
        <v>182153.66666666666</v>
      </c>
      <c r="C16" s="25">
        <f t="shared" si="3"/>
        <v>1639383.0000000002</v>
      </c>
      <c r="D16" s="25">
        <v>23144</v>
      </c>
      <c r="E16" s="25">
        <v>185401</v>
      </c>
      <c r="F16" s="25"/>
      <c r="G16" s="25">
        <f t="shared" si="1"/>
        <v>208545</v>
      </c>
      <c r="H16" s="25">
        <f t="shared" si="4"/>
        <v>1727367</v>
      </c>
      <c r="I16" s="25">
        <f t="shared" si="2"/>
        <v>-87983.99999999977</v>
      </c>
      <c r="J16" s="25">
        <f>AVERAGE(G12:G16)</f>
        <v>200575.8</v>
      </c>
      <c r="K16" s="30">
        <v>1021</v>
      </c>
      <c r="L16" s="30">
        <v>1146</v>
      </c>
      <c r="M16" s="29">
        <v>226</v>
      </c>
    </row>
    <row r="17" spans="1:13" ht="15" hidden="1">
      <c r="A17" s="7">
        <v>39539</v>
      </c>
      <c r="B17" s="25">
        <f t="shared" si="0"/>
        <v>182153.66666666666</v>
      </c>
      <c r="C17" s="25">
        <f t="shared" si="3"/>
        <v>1821536.666666667</v>
      </c>
      <c r="D17" s="25">
        <v>23817</v>
      </c>
      <c r="E17" s="25">
        <v>190074</v>
      </c>
      <c r="F17" s="25"/>
      <c r="G17" s="25">
        <f t="shared" si="1"/>
        <v>213891</v>
      </c>
      <c r="H17" s="25">
        <f t="shared" si="4"/>
        <v>1941258</v>
      </c>
      <c r="I17" s="25">
        <f t="shared" si="2"/>
        <v>-119721.33333333302</v>
      </c>
      <c r="J17" s="25">
        <f>AVERAGE(G14:G17)</f>
        <v>199535</v>
      </c>
      <c r="K17" s="30">
        <v>1021</v>
      </c>
      <c r="L17" s="30">
        <v>1281</v>
      </c>
      <c r="M17" s="29">
        <v>256</v>
      </c>
    </row>
    <row r="18" spans="1:13" ht="15" hidden="1">
      <c r="A18" s="7">
        <v>39569</v>
      </c>
      <c r="B18" s="33">
        <f t="shared" si="0"/>
        <v>182153.66666666666</v>
      </c>
      <c r="C18" s="33">
        <f t="shared" si="3"/>
        <v>2003690.3333333337</v>
      </c>
      <c r="D18" s="33">
        <v>23706</v>
      </c>
      <c r="E18" s="33">
        <v>198612</v>
      </c>
      <c r="F18" s="33"/>
      <c r="G18" s="25">
        <f t="shared" si="1"/>
        <v>222318</v>
      </c>
      <c r="H18" s="25">
        <f t="shared" si="4"/>
        <v>2163576</v>
      </c>
      <c r="I18" s="25">
        <f t="shared" si="2"/>
        <v>-159885.66666666628</v>
      </c>
      <c r="J18" s="25">
        <f>AVERAGE(G14:G18)</f>
        <v>204091.6</v>
      </c>
      <c r="K18" s="30">
        <v>1035</v>
      </c>
      <c r="L18" s="30">
        <v>1312</v>
      </c>
      <c r="M18" s="29">
        <v>281</v>
      </c>
    </row>
    <row r="19" spans="1:13" ht="15.75" hidden="1" thickBot="1">
      <c r="A19" s="7">
        <v>39600</v>
      </c>
      <c r="B19" s="34">
        <f t="shared" si="0"/>
        <v>182153.66666666666</v>
      </c>
      <c r="C19" s="34">
        <f t="shared" si="3"/>
        <v>2185844.0000000005</v>
      </c>
      <c r="D19" s="34">
        <v>24015</v>
      </c>
      <c r="E19" s="34">
        <v>193925</v>
      </c>
      <c r="F19" s="34"/>
      <c r="G19" s="34">
        <f t="shared" si="1"/>
        <v>217940</v>
      </c>
      <c r="H19" s="34">
        <f t="shared" si="4"/>
        <v>2381516</v>
      </c>
      <c r="I19" s="34">
        <f t="shared" si="2"/>
        <v>-195671.99999999953</v>
      </c>
      <c r="J19" s="34">
        <f>AVERAGE(G15:G19)</f>
        <v>213562.8</v>
      </c>
      <c r="K19" s="35">
        <v>1031</v>
      </c>
      <c r="L19" s="35">
        <v>1255</v>
      </c>
      <c r="M19" s="36">
        <v>296</v>
      </c>
    </row>
    <row r="20" spans="1:13" ht="15" hidden="1">
      <c r="A20" s="7">
        <v>39630</v>
      </c>
      <c r="B20" s="37">
        <v>251307</v>
      </c>
      <c r="C20" s="33">
        <f>B20</f>
        <v>251307</v>
      </c>
      <c r="D20" s="33">
        <v>29328</v>
      </c>
      <c r="E20" s="33">
        <v>224056</v>
      </c>
      <c r="F20" s="33"/>
      <c r="G20" s="33">
        <f t="shared" si="1"/>
        <v>253384</v>
      </c>
      <c r="H20" s="33">
        <f>G20</f>
        <v>253384</v>
      </c>
      <c r="I20" s="33">
        <f t="shared" si="2"/>
        <v>-2077</v>
      </c>
      <c r="J20" s="33">
        <f>H20</f>
        <v>253384</v>
      </c>
      <c r="K20" s="30">
        <v>1079</v>
      </c>
      <c r="L20" s="30">
        <v>1313</v>
      </c>
      <c r="M20" s="29">
        <v>312</v>
      </c>
    </row>
    <row r="21" spans="1:13" ht="15" hidden="1">
      <c r="A21" s="7">
        <v>39661</v>
      </c>
      <c r="B21" s="37">
        <v>251307</v>
      </c>
      <c r="C21" s="33">
        <f aca="true" t="shared" si="5" ref="C21:C31">C20+B21</f>
        <v>502614</v>
      </c>
      <c r="D21" s="33">
        <v>24058</v>
      </c>
      <c r="E21" s="33">
        <v>211494</v>
      </c>
      <c r="F21" s="33"/>
      <c r="G21" s="33">
        <f t="shared" si="1"/>
        <v>235552</v>
      </c>
      <c r="H21" s="33">
        <f aca="true" t="shared" si="6" ref="H21:H31">H20+G21</f>
        <v>488936</v>
      </c>
      <c r="I21" s="33">
        <f t="shared" si="2"/>
        <v>13678</v>
      </c>
      <c r="J21" s="33">
        <f>H21/2</f>
        <v>244468</v>
      </c>
      <c r="K21" s="30">
        <v>1070</v>
      </c>
      <c r="L21" s="30">
        <v>1352</v>
      </c>
      <c r="M21" s="29">
        <v>312</v>
      </c>
    </row>
    <row r="22" spans="1:13" ht="15" hidden="1">
      <c r="A22" s="7">
        <v>39692</v>
      </c>
      <c r="B22" s="37">
        <v>251307</v>
      </c>
      <c r="C22" s="33">
        <f t="shared" si="5"/>
        <v>753921</v>
      </c>
      <c r="D22" s="33">
        <v>27342</v>
      </c>
      <c r="E22" s="33">
        <v>197219</v>
      </c>
      <c r="F22" s="33"/>
      <c r="G22" s="33">
        <f t="shared" si="1"/>
        <v>224561</v>
      </c>
      <c r="H22" s="33">
        <f t="shared" si="6"/>
        <v>713497</v>
      </c>
      <c r="I22" s="33">
        <f t="shared" si="2"/>
        <v>40424</v>
      </c>
      <c r="J22" s="33">
        <f>H22/3</f>
        <v>237832.33333333334</v>
      </c>
      <c r="K22" s="30">
        <v>1119</v>
      </c>
      <c r="L22" s="30">
        <v>1373</v>
      </c>
      <c r="M22" s="29">
        <v>334</v>
      </c>
    </row>
    <row r="23" spans="1:13" ht="15" hidden="1">
      <c r="A23" s="7">
        <v>39722</v>
      </c>
      <c r="B23" s="37">
        <v>251307</v>
      </c>
      <c r="C23" s="33">
        <f t="shared" si="5"/>
        <v>1005228</v>
      </c>
      <c r="D23" s="33">
        <v>33594</v>
      </c>
      <c r="E23" s="33">
        <v>224259</v>
      </c>
      <c r="F23" s="33"/>
      <c r="G23" s="33">
        <f t="shared" si="1"/>
        <v>257853</v>
      </c>
      <c r="H23" s="33">
        <f t="shared" si="6"/>
        <v>971350</v>
      </c>
      <c r="I23" s="33">
        <f t="shared" si="2"/>
        <v>33878</v>
      </c>
      <c r="J23" s="33">
        <f>H23/4</f>
        <v>242837.5</v>
      </c>
      <c r="K23" s="30">
        <v>1180</v>
      </c>
      <c r="L23" s="30">
        <v>1366</v>
      </c>
      <c r="M23" s="29">
        <v>355</v>
      </c>
    </row>
    <row r="24" spans="1:13" ht="15" hidden="1">
      <c r="A24" s="7">
        <v>39753</v>
      </c>
      <c r="B24" s="37">
        <v>251307</v>
      </c>
      <c r="C24" s="33">
        <f t="shared" si="5"/>
        <v>1256535</v>
      </c>
      <c r="D24" s="33">
        <v>18408</v>
      </c>
      <c r="E24" s="33">
        <v>207473</v>
      </c>
      <c r="F24" s="33"/>
      <c r="G24" s="33">
        <f t="shared" si="1"/>
        <v>225881</v>
      </c>
      <c r="H24" s="33">
        <f t="shared" si="6"/>
        <v>1197231</v>
      </c>
      <c r="I24" s="33">
        <f t="shared" si="2"/>
        <v>59304</v>
      </c>
      <c r="J24" s="33">
        <f>H24/5</f>
        <v>239446.2</v>
      </c>
      <c r="K24" s="30">
        <v>1240</v>
      </c>
      <c r="L24" s="30">
        <v>1430</v>
      </c>
      <c r="M24" s="29">
        <v>358</v>
      </c>
    </row>
    <row r="25" spans="1:13" ht="15" hidden="1">
      <c r="A25" s="7">
        <v>39783</v>
      </c>
      <c r="B25" s="38">
        <v>202716.7142857143</v>
      </c>
      <c r="C25" s="33">
        <f t="shared" si="5"/>
        <v>1459251.7142857143</v>
      </c>
      <c r="D25" s="33">
        <v>14747</v>
      </c>
      <c r="E25" s="33">
        <v>220169</v>
      </c>
      <c r="F25" s="33"/>
      <c r="G25" s="33">
        <f t="shared" si="1"/>
        <v>234916</v>
      </c>
      <c r="H25" s="33">
        <f t="shared" si="6"/>
        <v>1432147</v>
      </c>
      <c r="I25" s="33">
        <f t="shared" si="2"/>
        <v>27104.71428571432</v>
      </c>
      <c r="J25" s="33">
        <f>H25/6</f>
        <v>238691.16666666666</v>
      </c>
      <c r="K25" s="30">
        <v>1338</v>
      </c>
      <c r="L25" s="30">
        <v>1347</v>
      </c>
      <c r="M25" s="29">
        <v>359</v>
      </c>
    </row>
    <row r="26" spans="1:13" ht="15" hidden="1">
      <c r="A26" s="7">
        <v>39814</v>
      </c>
      <c r="B26" s="38">
        <v>202716.7142857143</v>
      </c>
      <c r="C26" s="33">
        <f t="shared" si="5"/>
        <v>1661968.4285714286</v>
      </c>
      <c r="D26" s="33">
        <v>14361</v>
      </c>
      <c r="E26" s="33">
        <v>209182</v>
      </c>
      <c r="F26" s="33"/>
      <c r="G26" s="33">
        <f t="shared" si="1"/>
        <v>223543</v>
      </c>
      <c r="H26" s="33">
        <f t="shared" si="6"/>
        <v>1655690</v>
      </c>
      <c r="I26" s="33">
        <f t="shared" si="2"/>
        <v>6278.428571428638</v>
      </c>
      <c r="J26" s="33">
        <f>H26/7</f>
        <v>236527.14285714287</v>
      </c>
      <c r="K26" s="30">
        <v>1379</v>
      </c>
      <c r="L26" s="30">
        <v>1449</v>
      </c>
      <c r="M26" s="4">
        <v>347</v>
      </c>
    </row>
    <row r="27" spans="1:13" ht="15" hidden="1">
      <c r="A27" s="7">
        <v>39845</v>
      </c>
      <c r="B27" s="38">
        <v>202716.7142857143</v>
      </c>
      <c r="C27" s="33">
        <f t="shared" si="5"/>
        <v>1864685.142857143</v>
      </c>
      <c r="D27" s="33">
        <v>9035</v>
      </c>
      <c r="E27" s="33">
        <v>150736</v>
      </c>
      <c r="F27" s="33"/>
      <c r="G27" s="33">
        <f t="shared" si="1"/>
        <v>159771</v>
      </c>
      <c r="H27" s="33">
        <f t="shared" si="6"/>
        <v>1815461</v>
      </c>
      <c r="I27" s="33">
        <f t="shared" si="2"/>
        <v>49224.14285714296</v>
      </c>
      <c r="J27" s="33">
        <f>H27/8</f>
        <v>226932.625</v>
      </c>
      <c r="K27" s="30">
        <v>1396</v>
      </c>
      <c r="L27" s="30">
        <v>1476</v>
      </c>
      <c r="M27" s="4">
        <v>320</v>
      </c>
    </row>
    <row r="28" spans="1:13" ht="15" hidden="1">
      <c r="A28" s="7">
        <v>39873</v>
      </c>
      <c r="B28" s="38">
        <v>202716.7142857143</v>
      </c>
      <c r="C28" s="33">
        <f t="shared" si="5"/>
        <v>2067401.8571428573</v>
      </c>
      <c r="D28" s="33">
        <v>15924</v>
      </c>
      <c r="E28" s="33">
        <v>162144</v>
      </c>
      <c r="F28" s="33"/>
      <c r="G28" s="33">
        <f t="shared" si="1"/>
        <v>178068</v>
      </c>
      <c r="H28" s="33">
        <f t="shared" si="6"/>
        <v>1993529</v>
      </c>
      <c r="I28" s="33">
        <f t="shared" si="2"/>
        <v>73872.85714285728</v>
      </c>
      <c r="J28" s="33">
        <f>H28/9</f>
        <v>221503.22222222222</v>
      </c>
      <c r="K28" s="30">
        <v>1450</v>
      </c>
      <c r="L28" s="30">
        <v>1514</v>
      </c>
      <c r="M28" s="4">
        <v>294</v>
      </c>
    </row>
    <row r="29" spans="1:13" ht="15" hidden="1">
      <c r="A29" s="7">
        <v>39904</v>
      </c>
      <c r="B29" s="38">
        <v>202716.7142857143</v>
      </c>
      <c r="C29" s="33">
        <f t="shared" si="5"/>
        <v>2270118.5714285714</v>
      </c>
      <c r="D29" s="33">
        <v>8733</v>
      </c>
      <c r="E29" s="33">
        <v>174264</v>
      </c>
      <c r="F29" s="33"/>
      <c r="G29" s="33">
        <f t="shared" si="1"/>
        <v>182997</v>
      </c>
      <c r="H29" s="33">
        <f t="shared" si="6"/>
        <v>2176526</v>
      </c>
      <c r="I29" s="33">
        <f t="shared" si="2"/>
        <v>93592.57142857136</v>
      </c>
      <c r="J29" s="33">
        <f>H29/10</f>
        <v>217652.6</v>
      </c>
      <c r="K29" s="30">
        <v>1472</v>
      </c>
      <c r="L29" s="30">
        <v>1574</v>
      </c>
      <c r="M29" s="4">
        <v>275</v>
      </c>
    </row>
    <row r="30" spans="1:13" ht="15" hidden="1">
      <c r="A30" s="7">
        <v>39934</v>
      </c>
      <c r="B30" s="38">
        <v>202716.7142857143</v>
      </c>
      <c r="C30" s="33">
        <f t="shared" si="5"/>
        <v>2472835.2857142854</v>
      </c>
      <c r="D30" s="33">
        <v>5715</v>
      </c>
      <c r="E30" s="33">
        <v>181563</v>
      </c>
      <c r="F30" s="33"/>
      <c r="G30" s="33">
        <f t="shared" si="1"/>
        <v>187278</v>
      </c>
      <c r="H30" s="33">
        <f t="shared" si="6"/>
        <v>2363804</v>
      </c>
      <c r="I30" s="33">
        <f t="shared" si="2"/>
        <v>109031.28571428545</v>
      </c>
      <c r="J30" s="33">
        <f>H30/11</f>
        <v>214891.27272727274</v>
      </c>
      <c r="K30" s="30">
        <v>1465</v>
      </c>
      <c r="L30" s="30">
        <v>1642</v>
      </c>
      <c r="M30" s="4">
        <v>252</v>
      </c>
    </row>
    <row r="31" spans="1:13" ht="15.75" hidden="1" thickBot="1">
      <c r="A31" s="7">
        <v>39965</v>
      </c>
      <c r="B31" s="39">
        <v>202716.7142857143</v>
      </c>
      <c r="C31" s="34">
        <f t="shared" si="5"/>
        <v>2675551.9999999995</v>
      </c>
      <c r="D31" s="34">
        <v>4912</v>
      </c>
      <c r="E31" s="34">
        <v>175569</v>
      </c>
      <c r="F31" s="34"/>
      <c r="G31" s="34">
        <f t="shared" si="1"/>
        <v>180481</v>
      </c>
      <c r="H31" s="34">
        <f t="shared" si="6"/>
        <v>2544285</v>
      </c>
      <c r="I31" s="34">
        <f t="shared" si="2"/>
        <v>131266.99999999953</v>
      </c>
      <c r="J31" s="34">
        <f>H31/12</f>
        <v>212023.75</v>
      </c>
      <c r="K31" s="40">
        <v>1471</v>
      </c>
      <c r="L31" s="40">
        <v>1529</v>
      </c>
      <c r="M31" s="41">
        <v>253</v>
      </c>
    </row>
    <row r="32" spans="1:13" ht="18" hidden="1">
      <c r="A32" s="7">
        <v>40725</v>
      </c>
      <c r="B32" s="37">
        <f aca="true" t="shared" si="7" ref="B32:B43">$B$85/12</f>
        <v>60480.166666666664</v>
      </c>
      <c r="C32" s="33">
        <f>B32</f>
        <v>60480.166666666664</v>
      </c>
      <c r="D32" s="33">
        <v>440</v>
      </c>
      <c r="E32" s="33">
        <v>18422</v>
      </c>
      <c r="F32" s="33">
        <v>0</v>
      </c>
      <c r="G32" s="33">
        <f t="shared" si="1"/>
        <v>18862</v>
      </c>
      <c r="H32" s="33">
        <f>G32</f>
        <v>18862</v>
      </c>
      <c r="I32" s="33">
        <f t="shared" si="2"/>
        <v>41618.166666666664</v>
      </c>
      <c r="J32" s="11">
        <f>H32</f>
        <v>18862</v>
      </c>
      <c r="K32" s="42">
        <v>2281</v>
      </c>
      <c r="L32" s="42">
        <v>812</v>
      </c>
      <c r="M32" s="43">
        <v>287</v>
      </c>
    </row>
    <row r="33" spans="1:13" ht="18" hidden="1">
      <c r="A33" s="7">
        <v>40756</v>
      </c>
      <c r="B33" s="37">
        <f t="shared" si="7"/>
        <v>60480.166666666664</v>
      </c>
      <c r="C33" s="33">
        <f aca="true" t="shared" si="8" ref="C33:C43">C32+B33</f>
        <v>120960.33333333333</v>
      </c>
      <c r="D33" s="33">
        <v>455</v>
      </c>
      <c r="E33" s="33">
        <v>49693</v>
      </c>
      <c r="F33" s="33">
        <v>0</v>
      </c>
      <c r="G33" s="33">
        <f aca="true" t="shared" si="9" ref="G33:G67">D33+E33+F33</f>
        <v>50148</v>
      </c>
      <c r="H33" s="33">
        <f aca="true" t="shared" si="10" ref="H33:H43">H32+G33</f>
        <v>69010</v>
      </c>
      <c r="I33" s="33">
        <f t="shared" si="2"/>
        <v>51950.33333333333</v>
      </c>
      <c r="J33" s="11">
        <f>H33/2</f>
        <v>34505</v>
      </c>
      <c r="K33" s="42">
        <v>1957</v>
      </c>
      <c r="L33" s="42">
        <v>848</v>
      </c>
      <c r="M33" s="43">
        <v>269</v>
      </c>
    </row>
    <row r="34" spans="1:13" ht="18" hidden="1">
      <c r="A34" s="7">
        <v>40787</v>
      </c>
      <c r="B34" s="37">
        <f t="shared" si="7"/>
        <v>60480.166666666664</v>
      </c>
      <c r="C34" s="33">
        <f t="shared" si="8"/>
        <v>181440.5</v>
      </c>
      <c r="D34" s="33">
        <v>295</v>
      </c>
      <c r="E34" s="33">
        <v>25014</v>
      </c>
      <c r="F34" s="33">
        <v>0</v>
      </c>
      <c r="G34" s="33">
        <f t="shared" si="9"/>
        <v>25309</v>
      </c>
      <c r="H34" s="33">
        <f t="shared" si="10"/>
        <v>94319</v>
      </c>
      <c r="I34" s="33">
        <f t="shared" si="2"/>
        <v>87121.5</v>
      </c>
      <c r="J34" s="11">
        <f>H34/3</f>
        <v>31439.666666666668</v>
      </c>
      <c r="K34" s="42">
        <v>1990</v>
      </c>
      <c r="L34" s="42">
        <v>842</v>
      </c>
      <c r="M34" s="43">
        <v>267</v>
      </c>
    </row>
    <row r="35" spans="1:13" ht="18" hidden="1">
      <c r="A35" s="7">
        <v>40817</v>
      </c>
      <c r="B35" s="37">
        <f t="shared" si="7"/>
        <v>60480.166666666664</v>
      </c>
      <c r="C35" s="33">
        <f t="shared" si="8"/>
        <v>241920.66666666666</v>
      </c>
      <c r="D35" s="33">
        <v>150</v>
      </c>
      <c r="E35" s="33">
        <v>8015</v>
      </c>
      <c r="F35" s="33">
        <v>0</v>
      </c>
      <c r="G35" s="33">
        <f t="shared" si="9"/>
        <v>8165</v>
      </c>
      <c r="H35" s="33">
        <f t="shared" si="10"/>
        <v>102484</v>
      </c>
      <c r="I35" s="33">
        <f t="shared" si="2"/>
        <v>139436.66666666666</v>
      </c>
      <c r="J35" s="11">
        <f>H35/4</f>
        <v>25621</v>
      </c>
      <c r="K35" s="42">
        <v>2425</v>
      </c>
      <c r="L35" s="42">
        <v>844</v>
      </c>
      <c r="M35" s="43">
        <v>259</v>
      </c>
    </row>
    <row r="36" spans="1:13" ht="18" hidden="1">
      <c r="A36" s="7">
        <v>40848</v>
      </c>
      <c r="B36" s="37">
        <f t="shared" si="7"/>
        <v>60480.166666666664</v>
      </c>
      <c r="C36" s="33">
        <f t="shared" si="8"/>
        <v>302400.8333333333</v>
      </c>
      <c r="D36" s="33">
        <v>117</v>
      </c>
      <c r="E36" s="33">
        <v>16509</v>
      </c>
      <c r="F36" s="33">
        <v>0</v>
      </c>
      <c r="G36" s="33">
        <f t="shared" si="9"/>
        <v>16626</v>
      </c>
      <c r="H36" s="33">
        <f t="shared" si="10"/>
        <v>119110</v>
      </c>
      <c r="I36" s="33">
        <f t="shared" si="2"/>
        <v>183290.8333333333</v>
      </c>
      <c r="J36" s="11">
        <f>H36/5</f>
        <v>23822</v>
      </c>
      <c r="K36" s="42">
        <v>2279</v>
      </c>
      <c r="L36" s="42">
        <v>830</v>
      </c>
      <c r="M36" s="43">
        <v>260</v>
      </c>
    </row>
    <row r="37" spans="1:13" ht="18" hidden="1">
      <c r="A37" s="7">
        <v>40878</v>
      </c>
      <c r="B37" s="37">
        <f t="shared" si="7"/>
        <v>60480.166666666664</v>
      </c>
      <c r="C37" s="33">
        <f t="shared" si="8"/>
        <v>362881</v>
      </c>
      <c r="D37" s="33">
        <v>190</v>
      </c>
      <c r="E37" s="33">
        <v>18206</v>
      </c>
      <c r="F37" s="33">
        <v>0</v>
      </c>
      <c r="G37" s="33">
        <f t="shared" si="9"/>
        <v>18396</v>
      </c>
      <c r="H37" s="33">
        <f t="shared" si="10"/>
        <v>137506</v>
      </c>
      <c r="I37" s="33">
        <f t="shared" si="2"/>
        <v>225375</v>
      </c>
      <c r="J37" s="11">
        <f>H37/6</f>
        <v>22917.666666666668</v>
      </c>
      <c r="K37" s="42">
        <v>2429</v>
      </c>
      <c r="L37" s="42">
        <v>803</v>
      </c>
      <c r="M37" s="43">
        <v>268</v>
      </c>
    </row>
    <row r="38" spans="1:13" ht="18" hidden="1">
      <c r="A38" s="7">
        <v>40909</v>
      </c>
      <c r="B38" s="37">
        <f t="shared" si="7"/>
        <v>60480.166666666664</v>
      </c>
      <c r="C38" s="33">
        <f t="shared" si="8"/>
        <v>423361.1666666667</v>
      </c>
      <c r="D38" s="33">
        <v>300</v>
      </c>
      <c r="E38" s="33">
        <v>13972</v>
      </c>
      <c r="F38" s="33">
        <v>0</v>
      </c>
      <c r="G38" s="33">
        <f t="shared" si="9"/>
        <v>14272</v>
      </c>
      <c r="H38" s="33">
        <f t="shared" si="10"/>
        <v>151778</v>
      </c>
      <c r="I38" s="33">
        <f t="shared" si="2"/>
        <v>271583.1666666667</v>
      </c>
      <c r="J38" s="11">
        <f>H38/7</f>
        <v>21682.571428571428</v>
      </c>
      <c r="K38" s="42">
        <v>2351</v>
      </c>
      <c r="L38" s="42">
        <v>804</v>
      </c>
      <c r="M38" s="43">
        <v>254</v>
      </c>
    </row>
    <row r="39" spans="1:13" ht="18" hidden="1">
      <c r="A39" s="7">
        <v>40940</v>
      </c>
      <c r="B39" s="37">
        <f t="shared" si="7"/>
        <v>60480.166666666664</v>
      </c>
      <c r="C39" s="33">
        <f t="shared" si="8"/>
        <v>483841.3333333334</v>
      </c>
      <c r="D39" s="33">
        <v>270</v>
      </c>
      <c r="E39" s="33">
        <v>12896</v>
      </c>
      <c r="F39" s="33">
        <v>0</v>
      </c>
      <c r="G39" s="33">
        <f t="shared" si="9"/>
        <v>13166</v>
      </c>
      <c r="H39" s="33">
        <f t="shared" si="10"/>
        <v>164944</v>
      </c>
      <c r="I39" s="33">
        <f t="shared" si="2"/>
        <v>318897.3333333334</v>
      </c>
      <c r="J39" s="11">
        <f>H39/8</f>
        <v>20618</v>
      </c>
      <c r="K39" s="42">
        <v>2376</v>
      </c>
      <c r="L39" s="42">
        <v>841</v>
      </c>
      <c r="M39" s="43">
        <v>260</v>
      </c>
    </row>
    <row r="40" spans="1:13" ht="18" hidden="1">
      <c r="A40" s="7">
        <v>40969</v>
      </c>
      <c r="B40" s="37">
        <f t="shared" si="7"/>
        <v>60480.166666666664</v>
      </c>
      <c r="C40" s="33">
        <f t="shared" si="8"/>
        <v>544321.5</v>
      </c>
      <c r="D40" s="33">
        <v>482</v>
      </c>
      <c r="E40" s="33">
        <v>22734</v>
      </c>
      <c r="F40" s="33">
        <v>0</v>
      </c>
      <c r="G40" s="33">
        <f t="shared" si="9"/>
        <v>23216</v>
      </c>
      <c r="H40" s="33">
        <f t="shared" si="10"/>
        <v>188160</v>
      </c>
      <c r="I40" s="33">
        <f aca="true" t="shared" si="11" ref="I40:I59">C40-H40</f>
        <v>356161.5</v>
      </c>
      <c r="J40" s="11">
        <f>H40/9</f>
        <v>20906.666666666668</v>
      </c>
      <c r="K40" s="42">
        <v>2328</v>
      </c>
      <c r="L40" s="42">
        <v>894</v>
      </c>
      <c r="M40" s="43">
        <v>242</v>
      </c>
    </row>
    <row r="41" spans="1:13" ht="18" hidden="1">
      <c r="A41" s="7">
        <v>41000</v>
      </c>
      <c r="B41" s="37">
        <f t="shared" si="7"/>
        <v>60480.166666666664</v>
      </c>
      <c r="C41" s="33">
        <f t="shared" si="8"/>
        <v>604801.6666666666</v>
      </c>
      <c r="D41" s="33">
        <v>214</v>
      </c>
      <c r="E41" s="33">
        <v>19214</v>
      </c>
      <c r="F41" s="33">
        <v>0</v>
      </c>
      <c r="G41" s="33">
        <f t="shared" si="9"/>
        <v>19428</v>
      </c>
      <c r="H41" s="33">
        <f t="shared" si="10"/>
        <v>207588</v>
      </c>
      <c r="I41" s="33">
        <f t="shared" si="11"/>
        <v>397213.6666666666</v>
      </c>
      <c r="J41" s="11">
        <f>H41/10</f>
        <v>20758.8</v>
      </c>
      <c r="K41" s="42">
        <v>2518</v>
      </c>
      <c r="L41" s="42">
        <v>850</v>
      </c>
      <c r="M41" s="43">
        <v>185</v>
      </c>
    </row>
    <row r="42" spans="1:13" ht="18" hidden="1">
      <c r="A42" s="7">
        <v>41030</v>
      </c>
      <c r="B42" s="37">
        <f t="shared" si="7"/>
        <v>60480.166666666664</v>
      </c>
      <c r="C42" s="33">
        <f t="shared" si="8"/>
        <v>665281.8333333333</v>
      </c>
      <c r="D42" s="33">
        <v>170</v>
      </c>
      <c r="E42" s="33">
        <v>20077</v>
      </c>
      <c r="F42" s="33">
        <v>0</v>
      </c>
      <c r="G42" s="33">
        <f t="shared" si="9"/>
        <v>20247</v>
      </c>
      <c r="H42" s="33">
        <f t="shared" si="10"/>
        <v>227835</v>
      </c>
      <c r="I42" s="33">
        <f t="shared" si="11"/>
        <v>437446.83333333326</v>
      </c>
      <c r="J42" s="11">
        <f>H42/11</f>
        <v>20712.272727272728</v>
      </c>
      <c r="K42" s="42">
        <v>2098</v>
      </c>
      <c r="L42" s="42">
        <v>653</v>
      </c>
      <c r="M42" s="43">
        <v>0</v>
      </c>
    </row>
    <row r="43" spans="1:13" ht="18.75" hidden="1" thickBot="1">
      <c r="A43" s="7">
        <v>41061</v>
      </c>
      <c r="B43" s="39">
        <f t="shared" si="7"/>
        <v>60480.166666666664</v>
      </c>
      <c r="C43" s="34">
        <f t="shared" si="8"/>
        <v>725761.9999999999</v>
      </c>
      <c r="D43" s="34">
        <v>150</v>
      </c>
      <c r="E43" s="34">
        <v>26611</v>
      </c>
      <c r="F43" s="34">
        <v>0</v>
      </c>
      <c r="G43" s="34">
        <f t="shared" si="9"/>
        <v>26761</v>
      </c>
      <c r="H43" s="34">
        <f t="shared" si="10"/>
        <v>254596</v>
      </c>
      <c r="I43" s="34">
        <f t="shared" si="11"/>
        <v>471165.9999999999</v>
      </c>
      <c r="J43" s="12">
        <f>H43/12</f>
        <v>21216.333333333332</v>
      </c>
      <c r="K43" s="40">
        <v>2099</v>
      </c>
      <c r="L43" s="40">
        <v>644</v>
      </c>
      <c r="M43" s="41">
        <v>0</v>
      </c>
    </row>
    <row r="44" spans="1:13" ht="15" hidden="1">
      <c r="A44" s="7">
        <v>41091</v>
      </c>
      <c r="B44" s="37">
        <f aca="true" t="shared" si="12" ref="B44:B55">$B$86/12</f>
        <v>84519.83333333333</v>
      </c>
      <c r="C44" s="33">
        <f>B44</f>
        <v>84519.83333333333</v>
      </c>
      <c r="D44" s="33">
        <v>140</v>
      </c>
      <c r="E44" s="33">
        <v>24846</v>
      </c>
      <c r="F44" s="33">
        <v>0</v>
      </c>
      <c r="G44" s="33">
        <f t="shared" si="9"/>
        <v>24986</v>
      </c>
      <c r="H44" s="33">
        <f>G44</f>
        <v>24986</v>
      </c>
      <c r="I44" s="33">
        <f t="shared" si="11"/>
        <v>59533.83333333333</v>
      </c>
      <c r="J44" s="33">
        <f>H44/1</f>
        <v>24986</v>
      </c>
      <c r="K44" s="42">
        <v>1997</v>
      </c>
      <c r="L44" s="42">
        <v>586</v>
      </c>
      <c r="M44" s="43"/>
    </row>
    <row r="45" spans="1:13" ht="15" hidden="1">
      <c r="A45" s="7">
        <v>41122</v>
      </c>
      <c r="B45" s="37">
        <f t="shared" si="12"/>
        <v>84519.83333333333</v>
      </c>
      <c r="C45" s="33">
        <f aca="true" t="shared" si="13" ref="C45:C55">C44+B45</f>
        <v>169039.66666666666</v>
      </c>
      <c r="D45" s="33">
        <v>100</v>
      </c>
      <c r="E45" s="33">
        <v>37567</v>
      </c>
      <c r="F45" s="33">
        <v>0</v>
      </c>
      <c r="G45" s="33">
        <f t="shared" si="9"/>
        <v>37667</v>
      </c>
      <c r="H45" s="33">
        <f aca="true" t="shared" si="14" ref="H45:H55">H44+G45</f>
        <v>62653</v>
      </c>
      <c r="I45" s="33">
        <f t="shared" si="11"/>
        <v>106386.66666666666</v>
      </c>
      <c r="J45" s="33">
        <f>H45/2</f>
        <v>31326.5</v>
      </c>
      <c r="K45" s="42">
        <v>2071</v>
      </c>
      <c r="L45" s="42">
        <v>549</v>
      </c>
      <c r="M45" s="43"/>
    </row>
    <row r="46" spans="1:13" ht="15" hidden="1">
      <c r="A46" s="7">
        <v>41153</v>
      </c>
      <c r="B46" s="37">
        <f t="shared" si="12"/>
        <v>84519.83333333333</v>
      </c>
      <c r="C46" s="33">
        <f t="shared" si="13"/>
        <v>253559.5</v>
      </c>
      <c r="D46" s="33">
        <v>310</v>
      </c>
      <c r="E46" s="33">
        <v>33968</v>
      </c>
      <c r="F46" s="33">
        <v>0</v>
      </c>
      <c r="G46" s="33">
        <f t="shared" si="9"/>
        <v>34278</v>
      </c>
      <c r="H46" s="33">
        <f t="shared" si="14"/>
        <v>96931</v>
      </c>
      <c r="I46" s="33">
        <f t="shared" si="11"/>
        <v>156628.5</v>
      </c>
      <c r="J46" s="33">
        <f>H46/3</f>
        <v>32310.333333333332</v>
      </c>
      <c r="K46" s="42">
        <v>2060</v>
      </c>
      <c r="L46" s="42">
        <v>664</v>
      </c>
      <c r="M46" s="43"/>
    </row>
    <row r="47" spans="1:13" ht="15" hidden="1">
      <c r="A47" s="7">
        <v>41183</v>
      </c>
      <c r="B47" s="37">
        <f t="shared" si="12"/>
        <v>84519.83333333333</v>
      </c>
      <c r="C47" s="33">
        <f t="shared" si="13"/>
        <v>338079.3333333333</v>
      </c>
      <c r="D47" s="33">
        <v>180</v>
      </c>
      <c r="E47" s="33">
        <v>26538</v>
      </c>
      <c r="F47" s="33">
        <v>0</v>
      </c>
      <c r="G47" s="33">
        <f t="shared" si="9"/>
        <v>26718</v>
      </c>
      <c r="H47" s="33">
        <f t="shared" si="14"/>
        <v>123649</v>
      </c>
      <c r="I47" s="33">
        <f t="shared" si="11"/>
        <v>214430.3333333333</v>
      </c>
      <c r="J47" s="33">
        <f>H47/4</f>
        <v>30912.25</v>
      </c>
      <c r="K47" s="42">
        <v>2095</v>
      </c>
      <c r="L47" s="42">
        <v>588</v>
      </c>
      <c r="M47" s="43"/>
    </row>
    <row r="48" spans="1:13" ht="15" hidden="1">
      <c r="A48" s="7">
        <v>41214</v>
      </c>
      <c r="B48" s="37">
        <f t="shared" si="12"/>
        <v>84519.83333333333</v>
      </c>
      <c r="C48" s="33">
        <f t="shared" si="13"/>
        <v>422599.1666666666</v>
      </c>
      <c r="D48" s="33">
        <v>230</v>
      </c>
      <c r="E48" s="33">
        <v>33121</v>
      </c>
      <c r="F48" s="33">
        <v>0</v>
      </c>
      <c r="G48" s="33">
        <f t="shared" si="9"/>
        <v>33351</v>
      </c>
      <c r="H48" s="33">
        <f t="shared" si="14"/>
        <v>157000</v>
      </c>
      <c r="I48" s="33">
        <f t="shared" si="11"/>
        <v>265599.1666666666</v>
      </c>
      <c r="J48" s="33">
        <f>H48/5</f>
        <v>31400</v>
      </c>
      <c r="K48" s="42">
        <v>2093</v>
      </c>
      <c r="L48" s="42">
        <v>649</v>
      </c>
      <c r="M48" s="43"/>
    </row>
    <row r="49" spans="1:13" ht="15" hidden="1">
      <c r="A49" s="7">
        <v>41244</v>
      </c>
      <c r="B49" s="37">
        <f t="shared" si="12"/>
        <v>84519.83333333333</v>
      </c>
      <c r="C49" s="33">
        <f t="shared" si="13"/>
        <v>507118.99999999994</v>
      </c>
      <c r="D49" s="33">
        <v>100</v>
      </c>
      <c r="E49" s="33">
        <v>31350</v>
      </c>
      <c r="F49" s="33">
        <v>0</v>
      </c>
      <c r="G49" s="33">
        <f t="shared" si="9"/>
        <v>31450</v>
      </c>
      <c r="H49" s="33">
        <f t="shared" si="14"/>
        <v>188450</v>
      </c>
      <c r="I49" s="33">
        <f t="shared" si="11"/>
        <v>318668.99999999994</v>
      </c>
      <c r="J49" s="33">
        <f>H49/6</f>
        <v>31408.333333333332</v>
      </c>
      <c r="K49" s="42"/>
      <c r="L49" s="42"/>
      <c r="M49" s="43"/>
    </row>
    <row r="50" spans="1:13" ht="15" hidden="1">
      <c r="A50" s="7">
        <v>41275</v>
      </c>
      <c r="B50" s="37">
        <f t="shared" si="12"/>
        <v>84519.83333333333</v>
      </c>
      <c r="C50" s="33">
        <f t="shared" si="13"/>
        <v>591638.8333333333</v>
      </c>
      <c r="D50" s="33">
        <v>240</v>
      </c>
      <c r="E50" s="33">
        <v>30697</v>
      </c>
      <c r="F50" s="33">
        <v>0</v>
      </c>
      <c r="G50" s="33">
        <f t="shared" si="9"/>
        <v>30937</v>
      </c>
      <c r="H50" s="33">
        <f t="shared" si="14"/>
        <v>219387</v>
      </c>
      <c r="I50" s="33">
        <f t="shared" si="11"/>
        <v>372251.83333333326</v>
      </c>
      <c r="J50" s="33">
        <f>H50/7</f>
        <v>31341</v>
      </c>
      <c r="K50" s="42"/>
      <c r="L50" s="42"/>
      <c r="M50" s="43"/>
    </row>
    <row r="51" spans="1:13" ht="15" hidden="1">
      <c r="A51" s="7">
        <v>41306</v>
      </c>
      <c r="B51" s="37">
        <f t="shared" si="12"/>
        <v>84519.83333333333</v>
      </c>
      <c r="C51" s="33">
        <f t="shared" si="13"/>
        <v>676158.6666666666</v>
      </c>
      <c r="D51" s="33">
        <v>270</v>
      </c>
      <c r="E51" s="33">
        <v>34622</v>
      </c>
      <c r="F51" s="33">
        <v>0</v>
      </c>
      <c r="G51" s="33">
        <f t="shared" si="9"/>
        <v>34892</v>
      </c>
      <c r="H51" s="33">
        <f t="shared" si="14"/>
        <v>254279</v>
      </c>
      <c r="I51" s="33">
        <f t="shared" si="11"/>
        <v>421879.6666666666</v>
      </c>
      <c r="J51" s="33">
        <f>H51/8</f>
        <v>31784.875</v>
      </c>
      <c r="K51" s="42"/>
      <c r="L51" s="42"/>
      <c r="M51" s="43"/>
    </row>
    <row r="52" spans="1:13" ht="15" hidden="1">
      <c r="A52" s="7">
        <v>41334</v>
      </c>
      <c r="B52" s="37">
        <f t="shared" si="12"/>
        <v>84519.83333333333</v>
      </c>
      <c r="C52" s="33">
        <f t="shared" si="13"/>
        <v>760678.5</v>
      </c>
      <c r="D52" s="33">
        <v>70</v>
      </c>
      <c r="E52" s="33">
        <v>33528</v>
      </c>
      <c r="F52" s="33">
        <v>0</v>
      </c>
      <c r="G52" s="33">
        <f t="shared" si="9"/>
        <v>33598</v>
      </c>
      <c r="H52" s="33">
        <f t="shared" si="14"/>
        <v>287877</v>
      </c>
      <c r="I52" s="33">
        <f t="shared" si="11"/>
        <v>472801.5</v>
      </c>
      <c r="J52" s="33">
        <f>H52/9</f>
        <v>31986.333333333332</v>
      </c>
      <c r="K52" s="42"/>
      <c r="L52" s="42"/>
      <c r="M52" s="43"/>
    </row>
    <row r="53" spans="1:13" ht="15" hidden="1">
      <c r="A53" s="7">
        <v>41365</v>
      </c>
      <c r="B53" s="37">
        <f t="shared" si="12"/>
        <v>84519.83333333333</v>
      </c>
      <c r="C53" s="33">
        <f t="shared" si="13"/>
        <v>845198.3333333334</v>
      </c>
      <c r="D53" s="33">
        <v>40</v>
      </c>
      <c r="E53" s="33">
        <v>47279</v>
      </c>
      <c r="F53" s="33">
        <v>0</v>
      </c>
      <c r="G53" s="33">
        <f t="shared" si="9"/>
        <v>47319</v>
      </c>
      <c r="H53" s="33">
        <f t="shared" si="14"/>
        <v>335196</v>
      </c>
      <c r="I53" s="33">
        <f t="shared" si="11"/>
        <v>510002.3333333334</v>
      </c>
      <c r="J53" s="33">
        <f>H53/10</f>
        <v>33519.6</v>
      </c>
      <c r="K53" s="42"/>
      <c r="L53" s="42"/>
      <c r="M53" s="43"/>
    </row>
    <row r="54" spans="1:13" ht="15" hidden="1">
      <c r="A54" s="7">
        <v>41395</v>
      </c>
      <c r="B54" s="37">
        <f t="shared" si="12"/>
        <v>84519.83333333333</v>
      </c>
      <c r="C54" s="33">
        <f t="shared" si="13"/>
        <v>929718.1666666667</v>
      </c>
      <c r="D54" s="33">
        <v>0</v>
      </c>
      <c r="E54" s="33">
        <v>40904</v>
      </c>
      <c r="F54" s="33">
        <v>0</v>
      </c>
      <c r="G54" s="33">
        <f t="shared" si="9"/>
        <v>40904</v>
      </c>
      <c r="H54" s="33">
        <f t="shared" si="14"/>
        <v>376100</v>
      </c>
      <c r="I54" s="33">
        <f t="shared" si="11"/>
        <v>553618.1666666667</v>
      </c>
      <c r="J54" s="33">
        <f>H54/11</f>
        <v>34190.90909090909</v>
      </c>
      <c r="K54" s="42"/>
      <c r="L54" s="42"/>
      <c r="M54" s="43"/>
    </row>
    <row r="55" spans="1:13" ht="15.75" hidden="1" thickBot="1">
      <c r="A55" s="7">
        <v>41426</v>
      </c>
      <c r="B55" s="39">
        <f t="shared" si="12"/>
        <v>84519.83333333333</v>
      </c>
      <c r="C55" s="34">
        <f t="shared" si="13"/>
        <v>1014238.0000000001</v>
      </c>
      <c r="D55" s="34">
        <v>150</v>
      </c>
      <c r="E55" s="34">
        <v>39120</v>
      </c>
      <c r="F55" s="34">
        <v>0</v>
      </c>
      <c r="G55" s="34">
        <f t="shared" si="9"/>
        <v>39270</v>
      </c>
      <c r="H55" s="34">
        <f t="shared" si="14"/>
        <v>415370</v>
      </c>
      <c r="I55" s="34">
        <f t="shared" si="11"/>
        <v>598868.0000000001</v>
      </c>
      <c r="J55" s="34">
        <f>H55/12</f>
        <v>34614.166666666664</v>
      </c>
      <c r="K55" s="40"/>
      <c r="L55" s="40"/>
      <c r="M55" s="41"/>
    </row>
    <row r="56" spans="1:13" ht="15" hidden="1">
      <c r="A56" s="7">
        <v>41456</v>
      </c>
      <c r="B56" s="37">
        <f>$B$91/24</f>
        <v>55161.708333333336</v>
      </c>
      <c r="C56" s="33">
        <f>B56</f>
        <v>55161.708333333336</v>
      </c>
      <c r="D56" s="33">
        <v>110</v>
      </c>
      <c r="E56" s="33">
        <v>28287</v>
      </c>
      <c r="F56" s="33">
        <v>0</v>
      </c>
      <c r="G56" s="33">
        <f t="shared" si="9"/>
        <v>28397</v>
      </c>
      <c r="H56" s="33">
        <f>G56</f>
        <v>28397</v>
      </c>
      <c r="I56" s="33">
        <f t="shared" si="11"/>
        <v>26764.708333333336</v>
      </c>
      <c r="J56" s="33">
        <f>H56</f>
        <v>28397</v>
      </c>
      <c r="K56" s="42">
        <v>1740</v>
      </c>
      <c r="L56" s="42">
        <v>600</v>
      </c>
      <c r="M56" s="43"/>
    </row>
    <row r="57" spans="1:13" ht="15" hidden="1">
      <c r="A57" s="7">
        <v>41487</v>
      </c>
      <c r="B57" s="37">
        <f aca="true" t="shared" si="15" ref="B57:B79">$B$91/24</f>
        <v>55161.708333333336</v>
      </c>
      <c r="C57" s="33">
        <f aca="true" t="shared" si="16" ref="C57:C79">C56+B57</f>
        <v>110323.41666666667</v>
      </c>
      <c r="D57" s="33">
        <v>40</v>
      </c>
      <c r="E57" s="33">
        <v>38326</v>
      </c>
      <c r="F57" s="33">
        <v>0</v>
      </c>
      <c r="G57" s="33">
        <f t="shared" si="9"/>
        <v>38366</v>
      </c>
      <c r="H57" s="33">
        <f aca="true" t="shared" si="17" ref="H57:H62">G57+H56</f>
        <v>66763</v>
      </c>
      <c r="I57" s="33">
        <f t="shared" si="11"/>
        <v>43560.41666666667</v>
      </c>
      <c r="J57" s="33">
        <f>H57/2</f>
        <v>33381.5</v>
      </c>
      <c r="K57" s="42">
        <v>1693</v>
      </c>
      <c r="L57" s="42">
        <v>628</v>
      </c>
      <c r="M57" s="43"/>
    </row>
    <row r="58" spans="1:13" ht="15" hidden="1">
      <c r="A58" s="7">
        <v>41518</v>
      </c>
      <c r="B58" s="37">
        <f t="shared" si="15"/>
        <v>55161.708333333336</v>
      </c>
      <c r="C58" s="33">
        <f t="shared" si="16"/>
        <v>165485.125</v>
      </c>
      <c r="D58" s="33">
        <v>0</v>
      </c>
      <c r="E58" s="33">
        <v>39117</v>
      </c>
      <c r="F58" s="33">
        <v>0</v>
      </c>
      <c r="G58" s="33">
        <f t="shared" si="9"/>
        <v>39117</v>
      </c>
      <c r="H58" s="33">
        <f t="shared" si="17"/>
        <v>105880</v>
      </c>
      <c r="I58" s="33">
        <f t="shared" si="11"/>
        <v>59605.125</v>
      </c>
      <c r="J58" s="33">
        <f>H58/3</f>
        <v>35293.333333333336</v>
      </c>
      <c r="K58" s="42">
        <v>1692</v>
      </c>
      <c r="L58" s="42">
        <v>674</v>
      </c>
      <c r="M58" s="43"/>
    </row>
    <row r="59" spans="1:13" ht="15" hidden="1">
      <c r="A59" s="7">
        <v>41548</v>
      </c>
      <c r="B59" s="37">
        <f t="shared" si="15"/>
        <v>55161.708333333336</v>
      </c>
      <c r="C59" s="33">
        <f t="shared" si="16"/>
        <v>220646.83333333334</v>
      </c>
      <c r="D59" s="33">
        <v>0</v>
      </c>
      <c r="E59" s="33">
        <v>48115.72</v>
      </c>
      <c r="F59" s="33">
        <v>0</v>
      </c>
      <c r="G59" s="33">
        <f t="shared" si="9"/>
        <v>48115.72</v>
      </c>
      <c r="H59" s="33">
        <f t="shared" si="17"/>
        <v>153995.72</v>
      </c>
      <c r="I59" s="33">
        <f t="shared" si="11"/>
        <v>66651.11333333334</v>
      </c>
      <c r="J59" s="33">
        <f>H59/4</f>
        <v>38498.93</v>
      </c>
      <c r="K59" s="42">
        <v>1677</v>
      </c>
      <c r="L59" s="42">
        <v>651</v>
      </c>
      <c r="M59" s="43"/>
    </row>
    <row r="60" spans="1:13" ht="15" hidden="1">
      <c r="A60" s="7">
        <v>41579</v>
      </c>
      <c r="B60" s="37">
        <f t="shared" si="15"/>
        <v>55161.708333333336</v>
      </c>
      <c r="C60" s="33">
        <f t="shared" si="16"/>
        <v>275808.5416666667</v>
      </c>
      <c r="D60" s="33">
        <v>0</v>
      </c>
      <c r="E60" s="33">
        <v>29948.62</v>
      </c>
      <c r="F60" s="33">
        <v>0</v>
      </c>
      <c r="G60" s="33">
        <f t="shared" si="9"/>
        <v>29948.62</v>
      </c>
      <c r="H60" s="33">
        <f t="shared" si="17"/>
        <v>183944.34</v>
      </c>
      <c r="I60" s="33">
        <f aca="true" t="shared" si="18" ref="I60:I65">C60-H60</f>
        <v>91864.20166666669</v>
      </c>
      <c r="J60" s="33">
        <f>H60/5</f>
        <v>36788.868</v>
      </c>
      <c r="K60" s="42">
        <v>1708</v>
      </c>
      <c r="L60" s="42">
        <v>686</v>
      </c>
      <c r="M60" s="43"/>
    </row>
    <row r="61" spans="1:13" ht="15" hidden="1">
      <c r="A61" s="7">
        <v>41609</v>
      </c>
      <c r="B61" s="37">
        <f t="shared" si="15"/>
        <v>55161.708333333336</v>
      </c>
      <c r="C61" s="33">
        <f t="shared" si="16"/>
        <v>330970.25</v>
      </c>
      <c r="D61" s="33">
        <v>0</v>
      </c>
      <c r="E61" s="33">
        <v>27117.94</v>
      </c>
      <c r="F61" s="33">
        <v>0</v>
      </c>
      <c r="G61" s="33">
        <f t="shared" si="9"/>
        <v>27117.94</v>
      </c>
      <c r="H61" s="33">
        <f t="shared" si="17"/>
        <v>211062.28</v>
      </c>
      <c r="I61" s="33">
        <f t="shared" si="18"/>
        <v>119907.97</v>
      </c>
      <c r="J61" s="33">
        <f>H61/6</f>
        <v>35177.04666666667</v>
      </c>
      <c r="K61" s="42">
        <v>1706</v>
      </c>
      <c r="L61" s="42">
        <v>588</v>
      </c>
      <c r="M61" s="43"/>
    </row>
    <row r="62" spans="1:13" ht="15" hidden="1">
      <c r="A62" s="7">
        <v>41640</v>
      </c>
      <c r="B62" s="37">
        <f t="shared" si="15"/>
        <v>55161.708333333336</v>
      </c>
      <c r="C62" s="33">
        <f t="shared" si="16"/>
        <v>386131.9583333333</v>
      </c>
      <c r="D62" s="33">
        <v>0</v>
      </c>
      <c r="E62" s="33">
        <v>42028.54</v>
      </c>
      <c r="F62" s="33">
        <v>0</v>
      </c>
      <c r="G62" s="33">
        <f t="shared" si="9"/>
        <v>42028.54</v>
      </c>
      <c r="H62" s="33">
        <f t="shared" si="17"/>
        <v>253090.82</v>
      </c>
      <c r="I62" s="33">
        <f t="shared" si="18"/>
        <v>133041.1383333333</v>
      </c>
      <c r="J62" s="33">
        <f>H62/7</f>
        <v>36155.83142857143</v>
      </c>
      <c r="K62" s="42">
        <v>1778</v>
      </c>
      <c r="L62" s="42">
        <v>645</v>
      </c>
      <c r="M62" s="43"/>
    </row>
    <row r="63" spans="1:13" ht="15" hidden="1">
      <c r="A63" s="7">
        <v>41671</v>
      </c>
      <c r="B63" s="37">
        <f t="shared" si="15"/>
        <v>55161.708333333336</v>
      </c>
      <c r="C63" s="33">
        <f t="shared" si="16"/>
        <v>441293.6666666666</v>
      </c>
      <c r="D63" s="33">
        <v>0</v>
      </c>
      <c r="E63" s="33">
        <v>39933.38</v>
      </c>
      <c r="F63" s="33">
        <v>0</v>
      </c>
      <c r="G63" s="33">
        <f t="shared" si="9"/>
        <v>39933.38</v>
      </c>
      <c r="H63" s="33">
        <f aca="true" t="shared" si="19" ref="H63:H68">G63+H62</f>
        <v>293024.2</v>
      </c>
      <c r="I63" s="33">
        <f t="shared" si="18"/>
        <v>148269.46666666662</v>
      </c>
      <c r="J63" s="33">
        <f>H63/8</f>
        <v>36628.025</v>
      </c>
      <c r="K63" s="42">
        <v>1758</v>
      </c>
      <c r="L63" s="42">
        <v>705</v>
      </c>
      <c r="M63" s="43"/>
    </row>
    <row r="64" spans="1:13" ht="15" hidden="1">
      <c r="A64" s="7">
        <v>41699</v>
      </c>
      <c r="B64" s="37">
        <f t="shared" si="15"/>
        <v>55161.708333333336</v>
      </c>
      <c r="C64" s="33">
        <f t="shared" si="16"/>
        <v>496455.37499999994</v>
      </c>
      <c r="D64" s="33">
        <v>0</v>
      </c>
      <c r="E64" s="33">
        <v>47474.16</v>
      </c>
      <c r="F64" s="33">
        <v>0</v>
      </c>
      <c r="G64" s="33">
        <f t="shared" si="9"/>
        <v>47474.16</v>
      </c>
      <c r="H64" s="33">
        <f t="shared" si="19"/>
        <v>340498.36</v>
      </c>
      <c r="I64" s="33">
        <f t="shared" si="18"/>
        <v>155957.01499999996</v>
      </c>
      <c r="J64" s="33">
        <f>H64/9</f>
        <v>37833.15111111111</v>
      </c>
      <c r="K64" s="42">
        <v>1705</v>
      </c>
      <c r="L64" s="42">
        <v>749</v>
      </c>
      <c r="M64" s="43"/>
    </row>
    <row r="65" spans="1:13" ht="15" hidden="1">
      <c r="A65" s="7">
        <v>41730</v>
      </c>
      <c r="B65" s="37">
        <f t="shared" si="15"/>
        <v>55161.708333333336</v>
      </c>
      <c r="C65" s="33">
        <f t="shared" si="16"/>
        <v>551617.0833333333</v>
      </c>
      <c r="D65" s="33">
        <v>0</v>
      </c>
      <c r="E65" s="33">
        <v>36298.51</v>
      </c>
      <c r="F65" s="33">
        <v>0</v>
      </c>
      <c r="G65" s="33">
        <f t="shared" si="9"/>
        <v>36298.51</v>
      </c>
      <c r="H65" s="33">
        <f t="shared" si="19"/>
        <v>376796.87</v>
      </c>
      <c r="I65" s="33">
        <f t="shared" si="18"/>
        <v>174820.21333333326</v>
      </c>
      <c r="J65" s="33">
        <f>H65/10</f>
        <v>37679.687</v>
      </c>
      <c r="K65" s="42">
        <v>1694</v>
      </c>
      <c r="L65" s="42">
        <v>752</v>
      </c>
      <c r="M65" s="43"/>
    </row>
    <row r="66" spans="1:13" ht="15" hidden="1">
      <c r="A66" s="7">
        <v>41760</v>
      </c>
      <c r="B66" s="37">
        <f t="shared" si="15"/>
        <v>55161.708333333336</v>
      </c>
      <c r="C66" s="33">
        <f t="shared" si="16"/>
        <v>606778.7916666666</v>
      </c>
      <c r="D66" s="33">
        <v>0</v>
      </c>
      <c r="E66" s="33">
        <v>48346.06</v>
      </c>
      <c r="F66" s="33">
        <v>0</v>
      </c>
      <c r="G66" s="33">
        <f t="shared" si="9"/>
        <v>48346.06</v>
      </c>
      <c r="H66" s="33">
        <f t="shared" si="19"/>
        <v>425142.93</v>
      </c>
      <c r="I66" s="33">
        <f aca="true" t="shared" si="20" ref="I66:I71">C66-H66</f>
        <v>181635.86166666663</v>
      </c>
      <c r="J66" s="33">
        <f>H66/11</f>
        <v>38649.35727272727</v>
      </c>
      <c r="K66" s="42">
        <v>1596</v>
      </c>
      <c r="L66" s="42">
        <v>808</v>
      </c>
      <c r="M66" s="43"/>
    </row>
    <row r="67" spans="1:13" ht="15" hidden="1">
      <c r="A67" s="7">
        <v>41791</v>
      </c>
      <c r="B67" s="37">
        <f t="shared" si="15"/>
        <v>55161.708333333336</v>
      </c>
      <c r="C67" s="33">
        <f t="shared" si="16"/>
        <v>661940.5</v>
      </c>
      <c r="D67" s="33">
        <v>0</v>
      </c>
      <c r="E67" s="33">
        <v>46314</v>
      </c>
      <c r="F67" s="33">
        <v>0</v>
      </c>
      <c r="G67" s="33">
        <f t="shared" si="9"/>
        <v>46314</v>
      </c>
      <c r="H67" s="33">
        <f t="shared" si="19"/>
        <v>471456.93</v>
      </c>
      <c r="I67" s="33">
        <f t="shared" si="20"/>
        <v>190483.57</v>
      </c>
      <c r="J67" s="33">
        <f>H67/12</f>
        <v>39288.0775</v>
      </c>
      <c r="K67" s="42">
        <v>1567</v>
      </c>
      <c r="L67" s="42">
        <v>819</v>
      </c>
      <c r="M67" s="43"/>
    </row>
    <row r="68" spans="1:13" ht="15">
      <c r="A68" s="7">
        <v>41821</v>
      </c>
      <c r="B68" s="37">
        <f t="shared" si="15"/>
        <v>55161.708333333336</v>
      </c>
      <c r="C68" s="33">
        <f t="shared" si="16"/>
        <v>717102.2083333334</v>
      </c>
      <c r="D68" s="33">
        <v>0</v>
      </c>
      <c r="E68" s="33">
        <v>72814</v>
      </c>
      <c r="F68" s="33">
        <v>0</v>
      </c>
      <c r="G68" s="33">
        <f aca="true" t="shared" si="21" ref="G68:G74">D68+E68+F68</f>
        <v>72814</v>
      </c>
      <c r="H68" s="33">
        <f t="shared" si="19"/>
        <v>544270.9299999999</v>
      </c>
      <c r="I68" s="33">
        <f t="shared" si="20"/>
        <v>172831.27833333344</v>
      </c>
      <c r="J68" s="33">
        <f>H68/13</f>
        <v>41866.99461538461</v>
      </c>
      <c r="K68" s="42">
        <v>1547</v>
      </c>
      <c r="L68" s="42">
        <v>876</v>
      </c>
      <c r="M68" s="43"/>
    </row>
    <row r="69" spans="1:13" ht="15">
      <c r="A69" s="7">
        <v>41852</v>
      </c>
      <c r="B69" s="37">
        <f t="shared" si="15"/>
        <v>55161.708333333336</v>
      </c>
      <c r="C69" s="33">
        <f t="shared" si="16"/>
        <v>772263.9166666667</v>
      </c>
      <c r="D69" s="33">
        <v>0</v>
      </c>
      <c r="E69" s="33">
        <v>62609</v>
      </c>
      <c r="F69" s="33">
        <v>0</v>
      </c>
      <c r="G69" s="33">
        <f t="shared" si="21"/>
        <v>62609</v>
      </c>
      <c r="H69" s="33">
        <f aca="true" t="shared" si="22" ref="H69:H74">G69+H68</f>
        <v>606879.9299999999</v>
      </c>
      <c r="I69" s="33">
        <f t="shared" si="20"/>
        <v>165383.9866666668</v>
      </c>
      <c r="J69" s="33">
        <f>H69/14</f>
        <v>43348.56642857142</v>
      </c>
      <c r="K69" s="42">
        <v>1535</v>
      </c>
      <c r="L69" s="42">
        <v>1026</v>
      </c>
      <c r="M69" s="43"/>
    </row>
    <row r="70" spans="1:13" ht="15">
      <c r="A70" s="7">
        <v>41883</v>
      </c>
      <c r="B70" s="37">
        <f t="shared" si="15"/>
        <v>55161.708333333336</v>
      </c>
      <c r="C70" s="33">
        <f t="shared" si="16"/>
        <v>827425.6250000001</v>
      </c>
      <c r="D70" s="33">
        <v>0</v>
      </c>
      <c r="E70" s="33">
        <v>48415</v>
      </c>
      <c r="F70" s="33">
        <v>0</v>
      </c>
      <c r="G70" s="33">
        <f t="shared" si="21"/>
        <v>48415</v>
      </c>
      <c r="H70" s="33">
        <f t="shared" si="22"/>
        <v>655294.9299999999</v>
      </c>
      <c r="I70" s="33">
        <f t="shared" si="20"/>
        <v>172130.69500000018</v>
      </c>
      <c r="J70" s="33">
        <f>H70/15</f>
        <v>43686.32866666666</v>
      </c>
      <c r="K70" s="42">
        <v>1515</v>
      </c>
      <c r="L70" s="42">
        <v>1022</v>
      </c>
      <c r="M70" s="43"/>
    </row>
    <row r="71" spans="1:13" ht="15">
      <c r="A71" s="7">
        <v>41913</v>
      </c>
      <c r="B71" s="37">
        <f t="shared" si="15"/>
        <v>55161.708333333336</v>
      </c>
      <c r="C71" s="33">
        <f t="shared" si="16"/>
        <v>882587.3333333335</v>
      </c>
      <c r="D71" s="33">
        <v>0</v>
      </c>
      <c r="E71" s="33">
        <v>66636</v>
      </c>
      <c r="F71" s="33">
        <v>0</v>
      </c>
      <c r="G71" s="33">
        <f t="shared" si="21"/>
        <v>66636</v>
      </c>
      <c r="H71" s="33">
        <f t="shared" si="22"/>
        <v>721930.9299999999</v>
      </c>
      <c r="I71" s="33">
        <f t="shared" si="20"/>
        <v>160656.40333333355</v>
      </c>
      <c r="J71" s="33">
        <f>H71/16</f>
        <v>45120.683124999996</v>
      </c>
      <c r="K71" s="42">
        <v>1531</v>
      </c>
      <c r="L71" s="42">
        <v>1015</v>
      </c>
      <c r="M71" s="43"/>
    </row>
    <row r="72" spans="1:13" ht="15">
      <c r="A72" s="7">
        <v>41944</v>
      </c>
      <c r="B72" s="37">
        <f t="shared" si="15"/>
        <v>55161.708333333336</v>
      </c>
      <c r="C72" s="33">
        <f t="shared" si="16"/>
        <v>937749.0416666669</v>
      </c>
      <c r="D72" s="33">
        <v>0</v>
      </c>
      <c r="E72" s="33">
        <v>41949</v>
      </c>
      <c r="F72" s="33">
        <v>0</v>
      </c>
      <c r="G72" s="33">
        <f t="shared" si="21"/>
        <v>41949</v>
      </c>
      <c r="H72" s="33">
        <f t="shared" si="22"/>
        <v>763879.9299999999</v>
      </c>
      <c r="I72" s="33">
        <f>C72-H72</f>
        <v>173869.11166666693</v>
      </c>
      <c r="J72" s="33">
        <f>H72/17</f>
        <v>44934.11352941176</v>
      </c>
      <c r="K72" s="42">
        <v>1557</v>
      </c>
      <c r="L72" s="42">
        <v>1029</v>
      </c>
      <c r="M72" s="43"/>
    </row>
    <row r="73" spans="1:13" ht="15">
      <c r="A73" s="7">
        <v>41974</v>
      </c>
      <c r="B73" s="37">
        <f t="shared" si="15"/>
        <v>55161.708333333336</v>
      </c>
      <c r="C73" s="33">
        <f t="shared" si="16"/>
        <v>992910.7500000002</v>
      </c>
      <c r="D73" s="33">
        <v>0</v>
      </c>
      <c r="E73" s="33">
        <v>47783</v>
      </c>
      <c r="F73" s="33">
        <v>0</v>
      </c>
      <c r="G73" s="33">
        <f t="shared" si="21"/>
        <v>47783</v>
      </c>
      <c r="H73" s="33">
        <f t="shared" si="22"/>
        <v>811662.9299999999</v>
      </c>
      <c r="I73" s="33">
        <f>C73-H73</f>
        <v>181247.8200000003</v>
      </c>
      <c r="J73" s="33">
        <f>H73/18</f>
        <v>45092.384999999995</v>
      </c>
      <c r="K73" s="42">
        <v>1538</v>
      </c>
      <c r="L73" s="42">
        <v>956</v>
      </c>
      <c r="M73" s="43"/>
    </row>
    <row r="74" spans="1:13" ht="15">
      <c r="A74" s="7">
        <v>42005</v>
      </c>
      <c r="B74" s="37">
        <f t="shared" si="15"/>
        <v>55161.708333333336</v>
      </c>
      <c r="C74" s="33">
        <f t="shared" si="16"/>
        <v>1048072.4583333336</v>
      </c>
      <c r="D74" s="33">
        <v>0</v>
      </c>
      <c r="E74" s="33">
        <v>59131</v>
      </c>
      <c r="F74" s="33">
        <v>0</v>
      </c>
      <c r="G74" s="33">
        <f t="shared" si="21"/>
        <v>59131</v>
      </c>
      <c r="H74" s="33">
        <f t="shared" si="22"/>
        <v>870793.9299999999</v>
      </c>
      <c r="I74" s="33">
        <f>C74-H74</f>
        <v>177278.52833333367</v>
      </c>
      <c r="J74" s="33">
        <f>H74/19</f>
        <v>45831.25947368421</v>
      </c>
      <c r="K74" s="42">
        <v>1539</v>
      </c>
      <c r="L74" s="42">
        <v>1105</v>
      </c>
      <c r="M74" s="43"/>
    </row>
    <row r="75" spans="1:13" ht="15">
      <c r="A75" s="7">
        <v>42036</v>
      </c>
      <c r="B75" s="37">
        <f t="shared" si="15"/>
        <v>55161.708333333336</v>
      </c>
      <c r="C75" s="33">
        <f t="shared" si="16"/>
        <v>1103234.166666667</v>
      </c>
      <c r="D75" s="33"/>
      <c r="E75" s="33"/>
      <c r="F75" s="33"/>
      <c r="G75" s="33"/>
      <c r="H75" s="33"/>
      <c r="I75" s="33"/>
      <c r="J75" s="33"/>
      <c r="K75" s="42"/>
      <c r="L75" s="42"/>
      <c r="M75" s="43"/>
    </row>
    <row r="76" spans="1:13" ht="15">
      <c r="A76" s="7">
        <v>42064</v>
      </c>
      <c r="B76" s="37">
        <f t="shared" si="15"/>
        <v>55161.708333333336</v>
      </c>
      <c r="C76" s="33">
        <f t="shared" si="16"/>
        <v>1158395.8750000002</v>
      </c>
      <c r="D76" s="33"/>
      <c r="E76" s="33"/>
      <c r="F76" s="33"/>
      <c r="G76" s="33"/>
      <c r="H76" s="33"/>
      <c r="I76" s="33"/>
      <c r="J76" s="33"/>
      <c r="K76" s="42"/>
      <c r="L76" s="42"/>
      <c r="M76" s="43"/>
    </row>
    <row r="77" spans="1:13" ht="15">
      <c r="A77" s="7">
        <v>42095</v>
      </c>
      <c r="B77" s="37">
        <f t="shared" si="15"/>
        <v>55161.708333333336</v>
      </c>
      <c r="C77" s="33">
        <f t="shared" si="16"/>
        <v>1213557.5833333335</v>
      </c>
      <c r="D77" s="33"/>
      <c r="E77" s="33"/>
      <c r="F77" s="33"/>
      <c r="G77" s="33"/>
      <c r="H77" s="33"/>
      <c r="I77" s="33"/>
      <c r="J77" s="33"/>
      <c r="K77" s="42"/>
      <c r="L77" s="42"/>
      <c r="M77" s="43"/>
    </row>
    <row r="78" spans="1:13" ht="15">
      <c r="A78" s="7">
        <v>42125</v>
      </c>
      <c r="B78" s="37">
        <f t="shared" si="15"/>
        <v>55161.708333333336</v>
      </c>
      <c r="C78" s="33">
        <f t="shared" si="16"/>
        <v>1268719.2916666667</v>
      </c>
      <c r="D78" s="33"/>
      <c r="E78" s="33"/>
      <c r="F78" s="33"/>
      <c r="G78" s="33"/>
      <c r="H78" s="33"/>
      <c r="I78" s="33"/>
      <c r="J78" s="33"/>
      <c r="K78" s="42"/>
      <c r="L78" s="42"/>
      <c r="M78" s="43"/>
    </row>
    <row r="79" spans="1:13" ht="15">
      <c r="A79" s="7">
        <v>42156</v>
      </c>
      <c r="B79" s="37">
        <f t="shared" si="15"/>
        <v>55161.708333333336</v>
      </c>
      <c r="C79" s="33">
        <f t="shared" si="16"/>
        <v>1323881</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2185844</v>
      </c>
      <c r="C81" s="25">
        <f>SUM(B8:B19)</f>
        <v>2185844.0000000005</v>
      </c>
      <c r="D81" s="25">
        <f>SUM(D8:D19)</f>
        <v>253238</v>
      </c>
      <c r="E81" s="25">
        <f>SUM(E8:E19)</f>
        <v>2128278</v>
      </c>
      <c r="F81" s="25"/>
      <c r="G81" s="25">
        <f>SUM(G8:G19)</f>
        <v>2381516</v>
      </c>
      <c r="H81" s="25">
        <f>G81</f>
        <v>2381516</v>
      </c>
      <c r="I81" s="25">
        <f>I19</f>
        <v>-195671.99999999953</v>
      </c>
      <c r="J81" s="25">
        <f>J19</f>
        <v>213562.8</v>
      </c>
      <c r="K81" s="30">
        <f>SUM(K8:K19)</f>
        <v>10871</v>
      </c>
      <c r="L81" s="30">
        <f>SUM(L8:L19)</f>
        <v>13013</v>
      </c>
      <c r="M81" s="30">
        <f>SUM(M8:M19)</f>
        <v>1640</v>
      </c>
    </row>
    <row r="82" spans="1:13" ht="15" hidden="1">
      <c r="A82" s="20" t="s">
        <v>22</v>
      </c>
      <c r="B82" s="25">
        <v>2675552</v>
      </c>
      <c r="C82" s="25">
        <f>C31</f>
        <v>2675551.9999999995</v>
      </c>
      <c r="D82" s="25">
        <f>SUM(D20:D31)</f>
        <v>206157</v>
      </c>
      <c r="E82" s="25">
        <f>SUM(E20:E31)</f>
        <v>2338128</v>
      </c>
      <c r="F82" s="25"/>
      <c r="G82" s="25">
        <f>SUM(G20:G31)</f>
        <v>2544285</v>
      </c>
      <c r="H82" s="25">
        <f>G82</f>
        <v>2544285</v>
      </c>
      <c r="I82" s="25">
        <f>I31</f>
        <v>131266.99999999953</v>
      </c>
      <c r="J82" s="25">
        <f>AVERAGE(G20:G31)</f>
        <v>212023.75</v>
      </c>
      <c r="K82" s="30">
        <f>SUM(K20:K31)</f>
        <v>15659</v>
      </c>
      <c r="L82" s="30">
        <f>SUM(L20:L31)</f>
        <v>17365</v>
      </c>
      <c r="M82" s="30">
        <f>SUM(M20:M31)</f>
        <v>3771</v>
      </c>
    </row>
    <row r="83" spans="1:13" ht="15" hidden="1">
      <c r="A83" s="20" t="s">
        <v>23</v>
      </c>
      <c r="B83" s="25">
        <f>SUM(B81:B82)</f>
        <v>4861396</v>
      </c>
      <c r="C83" s="25">
        <f>SUM(C81:C82)</f>
        <v>4861396</v>
      </c>
      <c r="D83" s="25">
        <f>D81+D82</f>
        <v>459395</v>
      </c>
      <c r="E83" s="25">
        <f>E81+E82</f>
        <v>4466406</v>
      </c>
      <c r="F83" s="25"/>
      <c r="G83" s="25">
        <f>G81+G82</f>
        <v>4925801</v>
      </c>
      <c r="H83" s="25">
        <f>H81+H82</f>
        <v>4925801</v>
      </c>
      <c r="I83" s="25"/>
      <c r="J83" s="25">
        <f>AVERAGE(G8:G31)</f>
        <v>205241.70833333334</v>
      </c>
      <c r="K83" s="27">
        <f>SUM(K81:K82)</f>
        <v>26530</v>
      </c>
      <c r="L83" s="27">
        <f>SUM(L81:L82)</f>
        <v>30378</v>
      </c>
      <c r="M83" s="27">
        <f>SUM(M81:M82)</f>
        <v>5411</v>
      </c>
    </row>
    <row r="84" spans="1:12" ht="15" hidden="1">
      <c r="A84" s="20"/>
      <c r="B84" s="25"/>
      <c r="C84" s="25"/>
      <c r="D84" s="25"/>
      <c r="E84" s="25"/>
      <c r="F84" s="25"/>
      <c r="G84" s="25"/>
      <c r="H84" s="25"/>
      <c r="I84" s="25"/>
      <c r="J84" s="25"/>
      <c r="K84" s="27"/>
      <c r="L84" s="27"/>
    </row>
    <row r="85" spans="1:13" ht="15" hidden="1">
      <c r="A85" s="20" t="s">
        <v>24</v>
      </c>
      <c r="B85" s="25">
        <v>725762</v>
      </c>
      <c r="C85" s="25">
        <f>C43</f>
        <v>725761.9999999999</v>
      </c>
      <c r="D85" s="25">
        <f>SUM(D32:D43)</f>
        <v>3233</v>
      </c>
      <c r="E85" s="25">
        <f>SUM(E32:E43)</f>
        <v>251363</v>
      </c>
      <c r="F85" s="25">
        <f>SUM(F32:F67)</f>
        <v>0</v>
      </c>
      <c r="G85" s="25">
        <f>SUM(G32:G43)</f>
        <v>254596</v>
      </c>
      <c r="H85" s="25">
        <f>G85</f>
        <v>254596</v>
      </c>
      <c r="I85" s="25">
        <f>I43</f>
        <v>471165.9999999999</v>
      </c>
      <c r="J85" s="25">
        <f>AVERAGE(G32:G43)</f>
        <v>21216.333333333332</v>
      </c>
      <c r="K85" s="30">
        <f>SUM(K32:K43)</f>
        <v>27131</v>
      </c>
      <c r="L85" s="30">
        <f>SUM(L32:L43)</f>
        <v>9665</v>
      </c>
      <c r="M85" s="4">
        <f>SUM(M32:M43)</f>
        <v>2551</v>
      </c>
    </row>
    <row r="86" spans="1:13" ht="15" hidden="1">
      <c r="A86" s="20" t="s">
        <v>25</v>
      </c>
      <c r="B86" s="25">
        <v>1014238</v>
      </c>
      <c r="C86" s="25">
        <f>SUM(B44:B55)</f>
        <v>1014238.0000000001</v>
      </c>
      <c r="D86" s="25">
        <f>SUM(D44:D55)</f>
        <v>1830</v>
      </c>
      <c r="E86" s="25">
        <f>SUM(E44:E55)</f>
        <v>413540</v>
      </c>
      <c r="F86" s="25">
        <f>SUM(F44:F55)</f>
        <v>0</v>
      </c>
      <c r="G86" s="25">
        <f>SUM(G44:G55)</f>
        <v>415370</v>
      </c>
      <c r="H86" s="25">
        <f>G86</f>
        <v>415370</v>
      </c>
      <c r="I86" s="25">
        <f>I55</f>
        <v>598868.0000000001</v>
      </c>
      <c r="J86" s="25">
        <f>J55</f>
        <v>34614.166666666664</v>
      </c>
      <c r="K86" s="30">
        <f>SUM(K44:K55)</f>
        <v>10316</v>
      </c>
      <c r="L86" s="30">
        <f>SUM(L44:L55)</f>
        <v>3036</v>
      </c>
      <c r="M86" s="44">
        <f>SUM(M44:M55)</f>
        <v>0</v>
      </c>
    </row>
    <row r="87" spans="1:13" ht="15" hidden="1">
      <c r="A87" s="20" t="s">
        <v>26</v>
      </c>
      <c r="B87" s="25">
        <f>B85+B86</f>
        <v>1740000</v>
      </c>
      <c r="C87" s="25">
        <f aca="true" t="shared" si="23" ref="C87:M87">SUM(C85:C86)</f>
        <v>1740000</v>
      </c>
      <c r="D87" s="25">
        <f t="shared" si="23"/>
        <v>5063</v>
      </c>
      <c r="E87" s="25">
        <f t="shared" si="23"/>
        <v>664903</v>
      </c>
      <c r="F87" s="25">
        <f t="shared" si="23"/>
        <v>0</v>
      </c>
      <c r="G87" s="25">
        <f t="shared" si="23"/>
        <v>669966</v>
      </c>
      <c r="H87" s="25">
        <f t="shared" si="23"/>
        <v>669966</v>
      </c>
      <c r="I87" s="25">
        <f t="shared" si="23"/>
        <v>1070034</v>
      </c>
      <c r="J87" s="25">
        <f t="shared" si="23"/>
        <v>55830.5</v>
      </c>
      <c r="K87" s="27">
        <f t="shared" si="23"/>
        <v>37447</v>
      </c>
      <c r="L87" s="27">
        <f t="shared" si="23"/>
        <v>12701</v>
      </c>
      <c r="M87" s="27">
        <f t="shared" si="23"/>
        <v>2551</v>
      </c>
    </row>
    <row r="88" spans="1:13" ht="15">
      <c r="A88" s="20"/>
      <c r="B88" s="25"/>
      <c r="C88" s="25"/>
      <c r="D88" s="25"/>
      <c r="E88" s="25"/>
      <c r="F88" s="25"/>
      <c r="G88" s="25"/>
      <c r="H88" s="25"/>
      <c r="I88" s="25"/>
      <c r="J88" s="25"/>
      <c r="K88" s="27"/>
      <c r="L88" s="27"/>
      <c r="M88" s="27"/>
    </row>
    <row r="89" spans="1:13" s="56" customFormat="1" ht="18" hidden="1">
      <c r="A89" s="52" t="s">
        <v>27</v>
      </c>
      <c r="B89" s="53">
        <f>1790191/2</f>
        <v>895095.5</v>
      </c>
      <c r="C89" s="53">
        <f>C67</f>
        <v>661940.5</v>
      </c>
      <c r="D89" s="53">
        <f>SUM(D56:D67)</f>
        <v>150</v>
      </c>
      <c r="E89" s="53">
        <f>SUM(E56:E67)</f>
        <v>471306.93</v>
      </c>
      <c r="F89" s="53">
        <f>SUM(F56:F67)</f>
        <v>0</v>
      </c>
      <c r="G89" s="53">
        <f>SUM(G56:G67)</f>
        <v>471456.93</v>
      </c>
      <c r="H89" s="53">
        <f aca="true" t="shared" si="24" ref="H89:J90">H67</f>
        <v>471456.93</v>
      </c>
      <c r="I89" s="53">
        <f t="shared" si="24"/>
        <v>190483.57</v>
      </c>
      <c r="J89" s="53">
        <f t="shared" si="24"/>
        <v>39288.0775</v>
      </c>
      <c r="K89" s="54">
        <f>SUM(K56:K67)</f>
        <v>20314</v>
      </c>
      <c r="L89" s="54">
        <f>SUM(L56:L67)</f>
        <v>8305</v>
      </c>
      <c r="M89" s="55"/>
    </row>
    <row r="90" spans="1:13" s="56" customFormat="1" ht="18" hidden="1">
      <c r="A90" s="52" t="s">
        <v>28</v>
      </c>
      <c r="B90" s="53">
        <f>1790191/2</f>
        <v>895095.5</v>
      </c>
      <c r="C90" s="53">
        <v>895095.4999999999</v>
      </c>
      <c r="D90" s="53">
        <f>SUM(D68:D79)</f>
        <v>0</v>
      </c>
      <c r="E90" s="53">
        <f>SUM(E68:E79)</f>
        <v>399337</v>
      </c>
      <c r="F90" s="53">
        <f>SUM(F68:F79)</f>
        <v>0</v>
      </c>
      <c r="G90" s="53">
        <f>SUM(G68:G79)</f>
        <v>399337</v>
      </c>
      <c r="H90" s="53">
        <f t="shared" si="24"/>
        <v>544270.9299999999</v>
      </c>
      <c r="I90" s="53">
        <f t="shared" si="24"/>
        <v>172831.27833333344</v>
      </c>
      <c r="J90" s="53">
        <f t="shared" si="24"/>
        <v>41866.99461538461</v>
      </c>
      <c r="K90" s="54">
        <f>SUM(K68:K79)</f>
        <v>10762</v>
      </c>
      <c r="L90" s="54">
        <f>SUM(L68:L79)</f>
        <v>7029</v>
      </c>
      <c r="M90" s="55"/>
    </row>
    <row r="91" spans="1:13" ht="18">
      <c r="A91" s="20" t="s">
        <v>29</v>
      </c>
      <c r="B91" s="8">
        <v>1323881</v>
      </c>
      <c r="C91" s="8">
        <f>C79</f>
        <v>1323881</v>
      </c>
      <c r="D91" s="8">
        <f aca="true" t="shared" si="25" ref="D91:L91">D89+D90</f>
        <v>150</v>
      </c>
      <c r="E91" s="8">
        <f t="shared" si="25"/>
        <v>870643.9299999999</v>
      </c>
      <c r="F91" s="8">
        <f t="shared" si="25"/>
        <v>0</v>
      </c>
      <c r="G91" s="8">
        <f t="shared" si="25"/>
        <v>870793.9299999999</v>
      </c>
      <c r="H91" s="8">
        <f>H74</f>
        <v>870793.9299999999</v>
      </c>
      <c r="I91" s="8">
        <f>I74</f>
        <v>177278.52833333367</v>
      </c>
      <c r="J91" s="8">
        <f>J74</f>
        <v>45831.25947368421</v>
      </c>
      <c r="K91" s="9">
        <f t="shared" si="25"/>
        <v>31076</v>
      </c>
      <c r="L91" s="9">
        <f t="shared" si="25"/>
        <v>15334</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5.28125" style="4" customWidth="1"/>
    <col min="3" max="3" width="18.421875" style="4" customWidth="1"/>
    <col min="4" max="4" width="17.421875" style="4" customWidth="1"/>
    <col min="5" max="5" width="16.421875" style="4" customWidth="1"/>
    <col min="6" max="6" width="18.421875" style="4" customWidth="1"/>
    <col min="7" max="7" width="16.8515625" style="4" customWidth="1"/>
    <col min="8" max="8" width="18.140625" style="4" customWidth="1"/>
    <col min="9" max="9" width="14.28125" style="4" customWidth="1"/>
    <col min="10" max="10" width="16.00390625" style="4" customWidth="1"/>
    <col min="11" max="11" width="14.57421875" style="4" customWidth="1"/>
    <col min="12" max="12" width="12.57421875" style="4" customWidth="1"/>
    <col min="13" max="13" width="0" style="4" hidden="1" customWidth="1"/>
  </cols>
  <sheetData>
    <row r="1" spans="1:10" ht="18">
      <c r="A1" s="1" t="s">
        <v>0</v>
      </c>
      <c r="B1" s="2"/>
      <c r="C1" s="3"/>
      <c r="D1" s="3"/>
      <c r="E1" s="3"/>
      <c r="F1" s="3"/>
      <c r="G1" s="2"/>
      <c r="H1" s="2"/>
      <c r="I1" s="2"/>
      <c r="J1" s="2"/>
    </row>
    <row r="2" spans="1:2" ht="18">
      <c r="A2" s="5" t="s">
        <v>1</v>
      </c>
      <c r="B2" s="6">
        <v>6</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94329.83333333333</v>
      </c>
      <c r="C8" s="25">
        <f>B8</f>
        <v>94329.83333333333</v>
      </c>
      <c r="D8" s="25">
        <v>17259</v>
      </c>
      <c r="E8" s="25">
        <v>85945</v>
      </c>
      <c r="F8" s="25"/>
      <c r="G8" s="25">
        <f aca="true" t="shared" si="1" ref="G8:G31">D8+E8</f>
        <v>103204</v>
      </c>
      <c r="H8" s="25">
        <f>G8</f>
        <v>103204</v>
      </c>
      <c r="I8" s="25">
        <f aca="true" t="shared" si="2" ref="I8:I39">C8-H8</f>
        <v>-8874.166666666672</v>
      </c>
      <c r="J8" s="25">
        <f>H8</f>
        <v>103204</v>
      </c>
      <c r="K8" s="30">
        <v>479</v>
      </c>
      <c r="L8" s="30">
        <v>474</v>
      </c>
    </row>
    <row r="9" spans="1:12" ht="15" hidden="1">
      <c r="A9" s="7">
        <v>39295</v>
      </c>
      <c r="B9" s="25">
        <f t="shared" si="0"/>
        <v>94329.83333333333</v>
      </c>
      <c r="C9" s="25">
        <f aca="true" t="shared" si="3" ref="C9:C19">C8+B9</f>
        <v>188659.66666666666</v>
      </c>
      <c r="D9" s="25">
        <v>17055</v>
      </c>
      <c r="E9" s="25">
        <v>95813</v>
      </c>
      <c r="F9" s="25"/>
      <c r="G9" s="25">
        <f t="shared" si="1"/>
        <v>112868</v>
      </c>
      <c r="H9" s="25">
        <f aca="true" t="shared" si="4" ref="H9:H19">H8+G9</f>
        <v>216072</v>
      </c>
      <c r="I9" s="25">
        <f t="shared" si="2"/>
        <v>-27412.333333333343</v>
      </c>
      <c r="J9" s="25">
        <f>AVERAGE(G8:G9)</f>
        <v>108036</v>
      </c>
      <c r="K9" s="30">
        <v>492</v>
      </c>
      <c r="L9" s="30">
        <v>396</v>
      </c>
    </row>
    <row r="10" spans="1:12" ht="15" hidden="1">
      <c r="A10" s="7">
        <v>39326</v>
      </c>
      <c r="B10" s="25">
        <f t="shared" si="0"/>
        <v>94329.83333333333</v>
      </c>
      <c r="C10" s="25">
        <f t="shared" si="3"/>
        <v>282989.5</v>
      </c>
      <c r="D10" s="25">
        <v>10366</v>
      </c>
      <c r="E10" s="25">
        <v>94117</v>
      </c>
      <c r="F10" s="25"/>
      <c r="G10" s="25">
        <f t="shared" si="1"/>
        <v>104483</v>
      </c>
      <c r="H10" s="25">
        <f t="shared" si="4"/>
        <v>320555</v>
      </c>
      <c r="I10" s="25">
        <f t="shared" si="2"/>
        <v>-37565.5</v>
      </c>
      <c r="J10" s="25">
        <f>AVERAGE(G8:G10)</f>
        <v>106851.66666666667</v>
      </c>
      <c r="K10" s="30">
        <v>503</v>
      </c>
      <c r="L10" s="30">
        <v>459</v>
      </c>
    </row>
    <row r="11" spans="1:13" ht="15" hidden="1">
      <c r="A11" s="7">
        <v>39356</v>
      </c>
      <c r="B11" s="25">
        <f t="shared" si="0"/>
        <v>94329.83333333333</v>
      </c>
      <c r="C11" s="25">
        <f t="shared" si="3"/>
        <v>377319.3333333333</v>
      </c>
      <c r="D11" s="25">
        <v>14954</v>
      </c>
      <c r="E11" s="25">
        <v>83592</v>
      </c>
      <c r="F11" s="25"/>
      <c r="G11" s="25">
        <f t="shared" si="1"/>
        <v>98546</v>
      </c>
      <c r="H11" s="25">
        <f t="shared" si="4"/>
        <v>419101</v>
      </c>
      <c r="I11" s="25">
        <f t="shared" si="2"/>
        <v>-41781.666666666686</v>
      </c>
      <c r="J11" s="25">
        <f>AVERAGE(G8:G11)</f>
        <v>104775.25</v>
      </c>
      <c r="K11" s="30">
        <v>510</v>
      </c>
      <c r="L11" s="30">
        <v>393</v>
      </c>
      <c r="M11" s="29">
        <v>6</v>
      </c>
    </row>
    <row r="12" spans="1:13" ht="15" hidden="1">
      <c r="A12" s="7">
        <v>39387</v>
      </c>
      <c r="B12" s="25">
        <f t="shared" si="0"/>
        <v>94329.83333333333</v>
      </c>
      <c r="C12" s="25">
        <f t="shared" si="3"/>
        <v>471649.1666666666</v>
      </c>
      <c r="D12" s="25">
        <v>23298</v>
      </c>
      <c r="E12" s="25">
        <v>110527</v>
      </c>
      <c r="F12" s="25"/>
      <c r="G12" s="25">
        <f t="shared" si="1"/>
        <v>133825</v>
      </c>
      <c r="H12" s="25">
        <f t="shared" si="4"/>
        <v>552926</v>
      </c>
      <c r="I12" s="25">
        <f t="shared" si="2"/>
        <v>-81276.83333333337</v>
      </c>
      <c r="J12" s="25">
        <f>AVERAGE(G8:G12)</f>
        <v>110585.2</v>
      </c>
      <c r="K12" s="30">
        <v>490</v>
      </c>
      <c r="L12" s="30">
        <v>414</v>
      </c>
      <c r="M12" s="29">
        <v>17</v>
      </c>
    </row>
    <row r="13" spans="1:13" ht="15" hidden="1">
      <c r="A13" s="7">
        <v>39417</v>
      </c>
      <c r="B13" s="25">
        <f t="shared" si="0"/>
        <v>94329.83333333333</v>
      </c>
      <c r="C13" s="25">
        <f t="shared" si="3"/>
        <v>565979</v>
      </c>
      <c r="D13" s="25">
        <v>26880</v>
      </c>
      <c r="E13" s="25">
        <v>100554</v>
      </c>
      <c r="F13" s="25"/>
      <c r="G13" s="25">
        <f t="shared" si="1"/>
        <v>127434</v>
      </c>
      <c r="H13" s="25">
        <f t="shared" si="4"/>
        <v>680360</v>
      </c>
      <c r="I13" s="25">
        <f t="shared" si="2"/>
        <v>-114381</v>
      </c>
      <c r="J13" s="25">
        <f>AVERAGE(G12:G13)</f>
        <v>130629.5</v>
      </c>
      <c r="K13" s="30">
        <v>506</v>
      </c>
      <c r="L13" s="30">
        <v>445</v>
      </c>
      <c r="M13" s="29">
        <v>28</v>
      </c>
    </row>
    <row r="14" spans="1:13" ht="15" hidden="1">
      <c r="A14" s="7">
        <v>39448</v>
      </c>
      <c r="B14" s="25">
        <f t="shared" si="0"/>
        <v>94329.83333333333</v>
      </c>
      <c r="C14" s="25">
        <f t="shared" si="3"/>
        <v>660308.8333333334</v>
      </c>
      <c r="D14" s="25">
        <v>17465</v>
      </c>
      <c r="E14" s="25">
        <v>78243</v>
      </c>
      <c r="F14" s="25"/>
      <c r="G14" s="25">
        <f t="shared" si="1"/>
        <v>95708</v>
      </c>
      <c r="H14" s="25">
        <f t="shared" si="4"/>
        <v>776068</v>
      </c>
      <c r="I14" s="25">
        <f t="shared" si="2"/>
        <v>-115759.16666666663</v>
      </c>
      <c r="J14" s="25">
        <f>AVERAGE(G12:G14)</f>
        <v>118989</v>
      </c>
      <c r="K14" s="30">
        <v>511</v>
      </c>
      <c r="L14" s="30">
        <v>429</v>
      </c>
      <c r="M14" s="29">
        <v>41</v>
      </c>
    </row>
    <row r="15" spans="1:13" ht="15" hidden="1">
      <c r="A15" s="7">
        <v>39479</v>
      </c>
      <c r="B15" s="25">
        <f t="shared" si="0"/>
        <v>94329.83333333333</v>
      </c>
      <c r="C15" s="25">
        <f t="shared" si="3"/>
        <v>754638.6666666667</v>
      </c>
      <c r="D15" s="25">
        <v>20303</v>
      </c>
      <c r="E15" s="25">
        <v>90353</v>
      </c>
      <c r="F15" s="25"/>
      <c r="G15" s="25">
        <f t="shared" si="1"/>
        <v>110656</v>
      </c>
      <c r="H15" s="25">
        <f t="shared" si="4"/>
        <v>886724</v>
      </c>
      <c r="I15" s="25">
        <f t="shared" si="2"/>
        <v>-132085.33333333326</v>
      </c>
      <c r="J15" s="25">
        <f>AVERAGE(G12:G15)</f>
        <v>116905.75</v>
      </c>
      <c r="K15" s="30">
        <v>540</v>
      </c>
      <c r="L15" s="30">
        <v>403</v>
      </c>
      <c r="M15" s="29">
        <v>40</v>
      </c>
    </row>
    <row r="16" spans="1:13" ht="15" hidden="1">
      <c r="A16" s="7">
        <v>39508</v>
      </c>
      <c r="B16" s="25">
        <f t="shared" si="0"/>
        <v>94329.83333333333</v>
      </c>
      <c r="C16" s="25">
        <f t="shared" si="3"/>
        <v>848968.5000000001</v>
      </c>
      <c r="D16" s="25">
        <v>17216</v>
      </c>
      <c r="E16" s="25">
        <v>83090</v>
      </c>
      <c r="F16" s="25"/>
      <c r="G16" s="25">
        <f t="shared" si="1"/>
        <v>100306</v>
      </c>
      <c r="H16" s="25">
        <f t="shared" si="4"/>
        <v>987030</v>
      </c>
      <c r="I16" s="25">
        <f t="shared" si="2"/>
        <v>-138061.49999999988</v>
      </c>
      <c r="J16" s="25">
        <f>AVERAGE(G12:G16)</f>
        <v>113585.8</v>
      </c>
      <c r="K16" s="30">
        <v>552</v>
      </c>
      <c r="L16" s="30">
        <v>391</v>
      </c>
      <c r="M16" s="29">
        <v>53</v>
      </c>
    </row>
    <row r="17" spans="1:13" ht="15" hidden="1">
      <c r="A17" s="7">
        <v>39539</v>
      </c>
      <c r="B17" s="25">
        <f t="shared" si="0"/>
        <v>94329.83333333333</v>
      </c>
      <c r="C17" s="25">
        <f t="shared" si="3"/>
        <v>943298.3333333335</v>
      </c>
      <c r="D17" s="25">
        <v>21778</v>
      </c>
      <c r="E17" s="25">
        <v>100183</v>
      </c>
      <c r="F17" s="25"/>
      <c r="G17" s="25">
        <f t="shared" si="1"/>
        <v>121961</v>
      </c>
      <c r="H17" s="25">
        <f t="shared" si="4"/>
        <v>1108991</v>
      </c>
      <c r="I17" s="25">
        <f t="shared" si="2"/>
        <v>-165692.6666666665</v>
      </c>
      <c r="J17" s="25">
        <f>AVERAGE(G14:G17)</f>
        <v>107157.75</v>
      </c>
      <c r="K17" s="30">
        <v>584</v>
      </c>
      <c r="L17" s="30">
        <v>456</v>
      </c>
      <c r="M17" s="29">
        <v>64</v>
      </c>
    </row>
    <row r="18" spans="1:13" ht="15" hidden="1">
      <c r="A18" s="7">
        <v>39569</v>
      </c>
      <c r="B18" s="33">
        <f t="shared" si="0"/>
        <v>94329.83333333333</v>
      </c>
      <c r="C18" s="33">
        <f t="shared" si="3"/>
        <v>1037628.1666666669</v>
      </c>
      <c r="D18" s="33">
        <v>27742</v>
      </c>
      <c r="E18" s="33">
        <v>97386</v>
      </c>
      <c r="F18" s="33"/>
      <c r="G18" s="25">
        <f t="shared" si="1"/>
        <v>125128</v>
      </c>
      <c r="H18" s="25">
        <f t="shared" si="4"/>
        <v>1234119</v>
      </c>
      <c r="I18" s="25">
        <f t="shared" si="2"/>
        <v>-196490.83333333314</v>
      </c>
      <c r="J18" s="25">
        <f>AVERAGE(G14:G18)</f>
        <v>110751.8</v>
      </c>
      <c r="K18" s="30">
        <v>603</v>
      </c>
      <c r="L18" s="30">
        <v>484</v>
      </c>
      <c r="M18" s="29">
        <v>80</v>
      </c>
    </row>
    <row r="19" spans="1:13" ht="15.75" hidden="1" thickBot="1">
      <c r="A19" s="7">
        <v>39600</v>
      </c>
      <c r="B19" s="34">
        <f t="shared" si="0"/>
        <v>94329.83333333333</v>
      </c>
      <c r="C19" s="34">
        <f t="shared" si="3"/>
        <v>1131958.0000000002</v>
      </c>
      <c r="D19" s="34">
        <v>26104</v>
      </c>
      <c r="E19" s="34">
        <v>92741</v>
      </c>
      <c r="F19" s="34"/>
      <c r="G19" s="34">
        <f t="shared" si="1"/>
        <v>118845</v>
      </c>
      <c r="H19" s="34">
        <f t="shared" si="4"/>
        <v>1352964</v>
      </c>
      <c r="I19" s="34">
        <f t="shared" si="2"/>
        <v>-221005.99999999977</v>
      </c>
      <c r="J19" s="34">
        <f>AVERAGE(G15:G19)</f>
        <v>115379.2</v>
      </c>
      <c r="K19" s="35">
        <v>618</v>
      </c>
      <c r="L19" s="35">
        <v>390</v>
      </c>
      <c r="M19" s="36">
        <v>77</v>
      </c>
    </row>
    <row r="20" spans="1:13" ht="15" hidden="1">
      <c r="A20" s="7">
        <v>39630</v>
      </c>
      <c r="B20" s="37">
        <v>157962.6</v>
      </c>
      <c r="C20" s="33">
        <f>B20</f>
        <v>157962.6</v>
      </c>
      <c r="D20" s="33">
        <v>28554</v>
      </c>
      <c r="E20" s="33">
        <v>94238</v>
      </c>
      <c r="F20" s="33"/>
      <c r="G20" s="33">
        <f t="shared" si="1"/>
        <v>122792</v>
      </c>
      <c r="H20" s="33">
        <f>G20</f>
        <v>122792</v>
      </c>
      <c r="I20" s="33">
        <f t="shared" si="2"/>
        <v>35170.600000000006</v>
      </c>
      <c r="J20" s="33">
        <f>H20</f>
        <v>122792</v>
      </c>
      <c r="K20" s="30">
        <v>641</v>
      </c>
      <c r="L20" s="30">
        <v>500</v>
      </c>
      <c r="M20" s="29">
        <v>85</v>
      </c>
    </row>
    <row r="21" spans="1:13" ht="15" hidden="1">
      <c r="A21" s="7">
        <v>39661</v>
      </c>
      <c r="B21" s="37">
        <v>157962.6</v>
      </c>
      <c r="C21" s="33">
        <f aca="true" t="shared" si="5" ref="C21:C31">C20+B21</f>
        <v>315925.2</v>
      </c>
      <c r="D21" s="33">
        <v>18453</v>
      </c>
      <c r="E21" s="33">
        <v>113524</v>
      </c>
      <c r="F21" s="33"/>
      <c r="G21" s="33">
        <f t="shared" si="1"/>
        <v>131977</v>
      </c>
      <c r="H21" s="33">
        <f aca="true" t="shared" si="6" ref="H21:H31">H20+G21</f>
        <v>254769</v>
      </c>
      <c r="I21" s="33">
        <f t="shared" si="2"/>
        <v>61156.20000000001</v>
      </c>
      <c r="J21" s="33">
        <f>H21/2</f>
        <v>127384.5</v>
      </c>
      <c r="K21" s="30">
        <v>660</v>
      </c>
      <c r="L21" s="30">
        <v>551</v>
      </c>
      <c r="M21" s="29">
        <v>110</v>
      </c>
    </row>
    <row r="22" spans="1:13" ht="15" hidden="1">
      <c r="A22" s="7">
        <v>39692</v>
      </c>
      <c r="B22" s="37">
        <v>157962.6</v>
      </c>
      <c r="C22" s="33">
        <f t="shared" si="5"/>
        <v>473887.80000000005</v>
      </c>
      <c r="D22" s="33">
        <v>20322</v>
      </c>
      <c r="E22" s="33">
        <v>80315</v>
      </c>
      <c r="F22" s="33"/>
      <c r="G22" s="33">
        <f t="shared" si="1"/>
        <v>100637</v>
      </c>
      <c r="H22" s="33">
        <f t="shared" si="6"/>
        <v>355406</v>
      </c>
      <c r="I22" s="33">
        <f t="shared" si="2"/>
        <v>118481.80000000005</v>
      </c>
      <c r="J22" s="33">
        <f>H22/3</f>
        <v>118468.66666666667</v>
      </c>
      <c r="K22" s="30">
        <v>679</v>
      </c>
      <c r="L22" s="30">
        <v>601</v>
      </c>
      <c r="M22" s="29">
        <v>125</v>
      </c>
    </row>
    <row r="23" spans="1:13" ht="15" hidden="1">
      <c r="A23" s="7">
        <v>39722</v>
      </c>
      <c r="B23" s="37">
        <v>157962.6</v>
      </c>
      <c r="C23" s="33">
        <f t="shared" si="5"/>
        <v>631850.4</v>
      </c>
      <c r="D23" s="33">
        <v>18680</v>
      </c>
      <c r="E23" s="33">
        <v>86755</v>
      </c>
      <c r="F23" s="33"/>
      <c r="G23" s="33">
        <f t="shared" si="1"/>
        <v>105435</v>
      </c>
      <c r="H23" s="33">
        <f t="shared" si="6"/>
        <v>460841</v>
      </c>
      <c r="I23" s="33">
        <f t="shared" si="2"/>
        <v>171009.40000000002</v>
      </c>
      <c r="J23" s="33">
        <f>H23/4</f>
        <v>115210.25</v>
      </c>
      <c r="K23" s="30">
        <v>704</v>
      </c>
      <c r="L23" s="30">
        <v>588</v>
      </c>
      <c r="M23" s="29">
        <v>138</v>
      </c>
    </row>
    <row r="24" spans="1:13" ht="15" hidden="1">
      <c r="A24" s="7">
        <v>39753</v>
      </c>
      <c r="B24" s="37">
        <v>157962.6</v>
      </c>
      <c r="C24" s="33">
        <f t="shared" si="5"/>
        <v>789813</v>
      </c>
      <c r="D24" s="33">
        <v>14916</v>
      </c>
      <c r="E24" s="33">
        <v>73489</v>
      </c>
      <c r="F24" s="33"/>
      <c r="G24" s="33">
        <f t="shared" si="1"/>
        <v>88405</v>
      </c>
      <c r="H24" s="33">
        <f t="shared" si="6"/>
        <v>549246</v>
      </c>
      <c r="I24" s="33">
        <f t="shared" si="2"/>
        <v>240567</v>
      </c>
      <c r="J24" s="33">
        <f>H24/5</f>
        <v>109849.2</v>
      </c>
      <c r="K24" s="30">
        <v>718</v>
      </c>
      <c r="L24" s="30">
        <v>591</v>
      </c>
      <c r="M24" s="29">
        <v>140</v>
      </c>
    </row>
    <row r="25" spans="1:13" ht="15" hidden="1">
      <c r="A25" s="7">
        <v>39783</v>
      </c>
      <c r="B25" s="38">
        <v>112626</v>
      </c>
      <c r="C25" s="33">
        <f t="shared" si="5"/>
        <v>902439</v>
      </c>
      <c r="D25" s="33">
        <v>13148</v>
      </c>
      <c r="E25" s="33">
        <v>71996</v>
      </c>
      <c r="F25" s="33"/>
      <c r="G25" s="33">
        <f t="shared" si="1"/>
        <v>85144</v>
      </c>
      <c r="H25" s="33">
        <f t="shared" si="6"/>
        <v>634390</v>
      </c>
      <c r="I25" s="33">
        <f t="shared" si="2"/>
        <v>268049</v>
      </c>
      <c r="J25" s="33">
        <f>H25/6</f>
        <v>105731.66666666667</v>
      </c>
      <c r="K25" s="30">
        <v>737</v>
      </c>
      <c r="L25" s="30">
        <v>508</v>
      </c>
      <c r="M25" s="29">
        <v>143</v>
      </c>
    </row>
    <row r="26" spans="1:13" ht="15" hidden="1">
      <c r="A26" s="7">
        <v>39814</v>
      </c>
      <c r="B26" s="38">
        <v>112626</v>
      </c>
      <c r="C26" s="33">
        <f t="shared" si="5"/>
        <v>1015065</v>
      </c>
      <c r="D26" s="33">
        <v>16829</v>
      </c>
      <c r="E26" s="33">
        <v>63785</v>
      </c>
      <c r="F26" s="33"/>
      <c r="G26" s="33">
        <f t="shared" si="1"/>
        <v>80614</v>
      </c>
      <c r="H26" s="33">
        <f t="shared" si="6"/>
        <v>715004</v>
      </c>
      <c r="I26" s="33">
        <f t="shared" si="2"/>
        <v>300061</v>
      </c>
      <c r="J26" s="33">
        <f>H26/7</f>
        <v>102143.42857142857</v>
      </c>
      <c r="K26" s="30">
        <v>755</v>
      </c>
      <c r="L26" s="30">
        <v>593</v>
      </c>
      <c r="M26" s="29">
        <v>134</v>
      </c>
    </row>
    <row r="27" spans="1:13" ht="15" hidden="1">
      <c r="A27" s="7">
        <v>39845</v>
      </c>
      <c r="B27" s="38">
        <v>112626</v>
      </c>
      <c r="C27" s="33">
        <f t="shared" si="5"/>
        <v>1127691</v>
      </c>
      <c r="D27" s="33">
        <v>9974</v>
      </c>
      <c r="E27" s="33">
        <v>65288</v>
      </c>
      <c r="F27" s="33"/>
      <c r="G27" s="33">
        <f t="shared" si="1"/>
        <v>75262</v>
      </c>
      <c r="H27" s="33">
        <f t="shared" si="6"/>
        <v>790266</v>
      </c>
      <c r="I27" s="33">
        <f t="shared" si="2"/>
        <v>337425</v>
      </c>
      <c r="J27" s="33">
        <f>H27/8</f>
        <v>98783.25</v>
      </c>
      <c r="K27" s="30">
        <v>752</v>
      </c>
      <c r="L27" s="30">
        <v>546</v>
      </c>
      <c r="M27" s="29">
        <v>130</v>
      </c>
    </row>
    <row r="28" spans="1:13" ht="15" hidden="1">
      <c r="A28" s="7">
        <v>39873</v>
      </c>
      <c r="B28" s="38">
        <v>112626</v>
      </c>
      <c r="C28" s="33">
        <f t="shared" si="5"/>
        <v>1240317</v>
      </c>
      <c r="D28" s="33">
        <v>9300</v>
      </c>
      <c r="E28" s="33">
        <v>64376</v>
      </c>
      <c r="F28" s="33"/>
      <c r="G28" s="33">
        <f t="shared" si="1"/>
        <v>73676</v>
      </c>
      <c r="H28" s="33">
        <f t="shared" si="6"/>
        <v>863942</v>
      </c>
      <c r="I28" s="33">
        <f t="shared" si="2"/>
        <v>376375</v>
      </c>
      <c r="J28" s="33">
        <f>H28/9</f>
        <v>95993.55555555556</v>
      </c>
      <c r="K28" s="30">
        <v>753</v>
      </c>
      <c r="L28" s="30">
        <v>536</v>
      </c>
      <c r="M28" s="4">
        <v>121</v>
      </c>
    </row>
    <row r="29" spans="1:13" ht="15" hidden="1">
      <c r="A29" s="7">
        <v>39904</v>
      </c>
      <c r="B29" s="38">
        <v>112626</v>
      </c>
      <c r="C29" s="33">
        <f t="shared" si="5"/>
        <v>1352943</v>
      </c>
      <c r="D29" s="33">
        <v>15437</v>
      </c>
      <c r="E29" s="33">
        <v>60228</v>
      </c>
      <c r="F29" s="33"/>
      <c r="G29" s="33">
        <f t="shared" si="1"/>
        <v>75665</v>
      </c>
      <c r="H29" s="33">
        <f t="shared" si="6"/>
        <v>939607</v>
      </c>
      <c r="I29" s="33">
        <f t="shared" si="2"/>
        <v>413336</v>
      </c>
      <c r="J29" s="33">
        <f>H29/10</f>
        <v>93960.7</v>
      </c>
      <c r="K29" s="30">
        <v>757</v>
      </c>
      <c r="L29" s="30">
        <v>553</v>
      </c>
      <c r="M29" s="4">
        <v>110</v>
      </c>
    </row>
    <row r="30" spans="1:13" ht="15" hidden="1">
      <c r="A30" s="7">
        <v>39934</v>
      </c>
      <c r="B30" s="38">
        <v>112626</v>
      </c>
      <c r="C30" s="33">
        <f t="shared" si="5"/>
        <v>1465569</v>
      </c>
      <c r="D30" s="33">
        <v>8641</v>
      </c>
      <c r="E30" s="33">
        <v>62375</v>
      </c>
      <c r="F30" s="33"/>
      <c r="G30" s="33">
        <f t="shared" si="1"/>
        <v>71016</v>
      </c>
      <c r="H30" s="33">
        <f t="shared" si="6"/>
        <v>1010623</v>
      </c>
      <c r="I30" s="33">
        <f t="shared" si="2"/>
        <v>454946</v>
      </c>
      <c r="J30" s="33">
        <f>H30/11</f>
        <v>91874.81818181818</v>
      </c>
      <c r="K30" s="30">
        <v>773</v>
      </c>
      <c r="L30" s="30">
        <v>555</v>
      </c>
      <c r="M30" s="4">
        <v>113</v>
      </c>
    </row>
    <row r="31" spans="1:13" ht="15.75" hidden="1" thickBot="1">
      <c r="A31" s="7">
        <v>39965</v>
      </c>
      <c r="B31" s="39">
        <v>112626</v>
      </c>
      <c r="C31" s="34">
        <f t="shared" si="5"/>
        <v>1578195</v>
      </c>
      <c r="D31" s="34">
        <v>7114</v>
      </c>
      <c r="E31" s="34">
        <v>69227</v>
      </c>
      <c r="F31" s="34"/>
      <c r="G31" s="34">
        <f t="shared" si="1"/>
        <v>76341</v>
      </c>
      <c r="H31" s="34">
        <f t="shared" si="6"/>
        <v>1086964</v>
      </c>
      <c r="I31" s="34">
        <f t="shared" si="2"/>
        <v>491231</v>
      </c>
      <c r="J31" s="34">
        <f>H31/12</f>
        <v>90580.33333333333</v>
      </c>
      <c r="K31" s="40">
        <v>779</v>
      </c>
      <c r="L31" s="40">
        <v>480</v>
      </c>
      <c r="M31" s="41">
        <v>104</v>
      </c>
    </row>
    <row r="32" spans="1:13" ht="18" hidden="1">
      <c r="A32" s="7">
        <v>40725</v>
      </c>
      <c r="B32" s="37">
        <f aca="true" t="shared" si="7" ref="B32:B43">$B$85/12</f>
        <v>16123.5</v>
      </c>
      <c r="C32" s="33">
        <f>B32</f>
        <v>16123.5</v>
      </c>
      <c r="D32" s="33">
        <v>65</v>
      </c>
      <c r="E32" s="33">
        <f>18-F32</f>
        <v>393</v>
      </c>
      <c r="F32" s="33">
        <v>-375</v>
      </c>
      <c r="G32" s="33">
        <f>D32+E32+F32</f>
        <v>83</v>
      </c>
      <c r="H32" s="33">
        <f>G32</f>
        <v>83</v>
      </c>
      <c r="I32" s="33">
        <f t="shared" si="2"/>
        <v>16040.5</v>
      </c>
      <c r="J32" s="11">
        <f>H32</f>
        <v>83</v>
      </c>
      <c r="K32" s="42">
        <v>943</v>
      </c>
      <c r="L32" s="42">
        <v>172</v>
      </c>
      <c r="M32" s="43">
        <v>62</v>
      </c>
    </row>
    <row r="33" spans="1:13" ht="18" hidden="1">
      <c r="A33" s="7">
        <v>40756</v>
      </c>
      <c r="B33" s="37">
        <f t="shared" si="7"/>
        <v>16123.5</v>
      </c>
      <c r="C33" s="33">
        <f aca="true" t="shared" si="8" ref="C33:C43">C32+B33</f>
        <v>32247</v>
      </c>
      <c r="D33" s="33">
        <v>0</v>
      </c>
      <c r="E33" s="33">
        <f>-1680+3628+340</f>
        <v>2288</v>
      </c>
      <c r="F33" s="33">
        <v>0</v>
      </c>
      <c r="G33" s="33">
        <f>D33+E33</f>
        <v>2288</v>
      </c>
      <c r="H33" s="33">
        <f aca="true" t="shared" si="9" ref="H33:H43">H32+G33</f>
        <v>2371</v>
      </c>
      <c r="I33" s="33">
        <f t="shared" si="2"/>
        <v>29876</v>
      </c>
      <c r="J33" s="11">
        <f>H33/2</f>
        <v>1185.5</v>
      </c>
      <c r="K33" s="42">
        <v>842</v>
      </c>
      <c r="L33" s="42">
        <v>192</v>
      </c>
      <c r="M33" s="43">
        <v>71</v>
      </c>
    </row>
    <row r="34" spans="1:13" ht="18" hidden="1">
      <c r="A34" s="7">
        <v>40787</v>
      </c>
      <c r="B34" s="37">
        <f t="shared" si="7"/>
        <v>16123.5</v>
      </c>
      <c r="C34" s="33">
        <f t="shared" si="8"/>
        <v>48370.5</v>
      </c>
      <c r="D34" s="33">
        <v>0</v>
      </c>
      <c r="E34" s="33">
        <v>4468</v>
      </c>
      <c r="F34" s="33">
        <v>0</v>
      </c>
      <c r="G34" s="33">
        <f aca="true" t="shared" si="10" ref="G34:G66">D34+E34+F34</f>
        <v>4468</v>
      </c>
      <c r="H34" s="33">
        <f t="shared" si="9"/>
        <v>6839</v>
      </c>
      <c r="I34" s="33">
        <f t="shared" si="2"/>
        <v>41531.5</v>
      </c>
      <c r="J34" s="11">
        <f>H34/3</f>
        <v>2279.6666666666665</v>
      </c>
      <c r="K34" s="42">
        <v>894</v>
      </c>
      <c r="L34" s="42">
        <v>228</v>
      </c>
      <c r="M34" s="43">
        <v>72</v>
      </c>
    </row>
    <row r="35" spans="1:13" ht="18" hidden="1">
      <c r="A35" s="7">
        <v>40817</v>
      </c>
      <c r="B35" s="37">
        <f t="shared" si="7"/>
        <v>16123.5</v>
      </c>
      <c r="C35" s="33">
        <f t="shared" si="8"/>
        <v>64494</v>
      </c>
      <c r="D35" s="33">
        <v>0</v>
      </c>
      <c r="E35" s="33">
        <v>7938</v>
      </c>
      <c r="F35" s="33">
        <v>0</v>
      </c>
      <c r="G35" s="33">
        <f t="shared" si="10"/>
        <v>7938</v>
      </c>
      <c r="H35" s="33">
        <f t="shared" si="9"/>
        <v>14777</v>
      </c>
      <c r="I35" s="33">
        <f t="shared" si="2"/>
        <v>49717</v>
      </c>
      <c r="J35" s="11">
        <f>H35/4</f>
        <v>3694.25</v>
      </c>
      <c r="K35" s="42">
        <v>888</v>
      </c>
      <c r="L35" s="42">
        <v>240</v>
      </c>
      <c r="M35" s="43">
        <v>68</v>
      </c>
    </row>
    <row r="36" spans="1:13" ht="18" hidden="1">
      <c r="A36" s="7">
        <v>40848</v>
      </c>
      <c r="B36" s="37">
        <f t="shared" si="7"/>
        <v>16123.5</v>
      </c>
      <c r="C36" s="33">
        <f t="shared" si="8"/>
        <v>80617.5</v>
      </c>
      <c r="D36" s="33">
        <v>0</v>
      </c>
      <c r="E36" s="33">
        <v>3441</v>
      </c>
      <c r="F36" s="33">
        <v>0</v>
      </c>
      <c r="G36" s="33">
        <f t="shared" si="10"/>
        <v>3441</v>
      </c>
      <c r="H36" s="33">
        <f t="shared" si="9"/>
        <v>18218</v>
      </c>
      <c r="I36" s="33">
        <f t="shared" si="2"/>
        <v>62399.5</v>
      </c>
      <c r="J36" s="11">
        <f>H36/5</f>
        <v>3643.6</v>
      </c>
      <c r="K36" s="42">
        <v>899</v>
      </c>
      <c r="L36" s="42">
        <v>232</v>
      </c>
      <c r="M36" s="43">
        <v>68</v>
      </c>
    </row>
    <row r="37" spans="1:13" ht="18" hidden="1">
      <c r="A37" s="7">
        <v>40878</v>
      </c>
      <c r="B37" s="37">
        <f t="shared" si="7"/>
        <v>16123.5</v>
      </c>
      <c r="C37" s="33">
        <f t="shared" si="8"/>
        <v>96741</v>
      </c>
      <c r="D37" s="33">
        <v>0</v>
      </c>
      <c r="E37" s="33">
        <v>2509</v>
      </c>
      <c r="F37" s="33">
        <v>0</v>
      </c>
      <c r="G37" s="33">
        <f t="shared" si="10"/>
        <v>2509</v>
      </c>
      <c r="H37" s="33">
        <f t="shared" si="9"/>
        <v>20727</v>
      </c>
      <c r="I37" s="33">
        <f t="shared" si="2"/>
        <v>76014</v>
      </c>
      <c r="J37" s="11">
        <f>H37/6</f>
        <v>3454.5</v>
      </c>
      <c r="K37" s="42">
        <v>925</v>
      </c>
      <c r="L37" s="42">
        <v>216</v>
      </c>
      <c r="M37" s="43">
        <v>72</v>
      </c>
    </row>
    <row r="38" spans="1:13" ht="18" hidden="1">
      <c r="A38" s="7">
        <v>40909</v>
      </c>
      <c r="B38" s="37">
        <f t="shared" si="7"/>
        <v>16123.5</v>
      </c>
      <c r="C38" s="33">
        <f t="shared" si="8"/>
        <v>112864.5</v>
      </c>
      <c r="D38" s="33">
        <v>0</v>
      </c>
      <c r="E38" s="33">
        <v>3035</v>
      </c>
      <c r="F38" s="33">
        <v>0</v>
      </c>
      <c r="G38" s="33">
        <f t="shared" si="10"/>
        <v>3035</v>
      </c>
      <c r="H38" s="33">
        <f t="shared" si="9"/>
        <v>23762</v>
      </c>
      <c r="I38" s="33">
        <f t="shared" si="2"/>
        <v>89102.5</v>
      </c>
      <c r="J38" s="11">
        <f>H38/7</f>
        <v>3394.5714285714284</v>
      </c>
      <c r="K38" s="42">
        <v>1099</v>
      </c>
      <c r="L38" s="42">
        <v>237</v>
      </c>
      <c r="M38" s="43">
        <v>72</v>
      </c>
    </row>
    <row r="39" spans="1:13" ht="18" hidden="1">
      <c r="A39" s="7">
        <v>40940</v>
      </c>
      <c r="B39" s="37">
        <f t="shared" si="7"/>
        <v>16123.5</v>
      </c>
      <c r="C39" s="33">
        <f t="shared" si="8"/>
        <v>128988</v>
      </c>
      <c r="D39" s="33">
        <v>45</v>
      </c>
      <c r="E39" s="33">
        <v>2954</v>
      </c>
      <c r="F39" s="33">
        <v>0</v>
      </c>
      <c r="G39" s="33">
        <f t="shared" si="10"/>
        <v>2999</v>
      </c>
      <c r="H39" s="33">
        <f t="shared" si="9"/>
        <v>26761</v>
      </c>
      <c r="I39" s="33">
        <f t="shared" si="2"/>
        <v>102227</v>
      </c>
      <c r="J39" s="11">
        <f>H39/8</f>
        <v>3345.125</v>
      </c>
      <c r="K39" s="42">
        <v>1088</v>
      </c>
      <c r="L39" s="42">
        <v>239</v>
      </c>
      <c r="M39" s="43">
        <v>69</v>
      </c>
    </row>
    <row r="40" spans="1:13" ht="18" hidden="1">
      <c r="A40" s="7">
        <v>40969</v>
      </c>
      <c r="B40" s="37">
        <f t="shared" si="7"/>
        <v>16123.5</v>
      </c>
      <c r="C40" s="33">
        <f t="shared" si="8"/>
        <v>145111.5</v>
      </c>
      <c r="D40" s="33">
        <v>0</v>
      </c>
      <c r="E40" s="33">
        <v>4275</v>
      </c>
      <c r="F40" s="33">
        <v>0</v>
      </c>
      <c r="G40" s="33">
        <f t="shared" si="10"/>
        <v>4275</v>
      </c>
      <c r="H40" s="33">
        <f t="shared" si="9"/>
        <v>31036</v>
      </c>
      <c r="I40" s="33">
        <f aca="true" t="shared" si="11" ref="I40:I59">C40-H40</f>
        <v>114075.5</v>
      </c>
      <c r="J40" s="11">
        <f>H40/9</f>
        <v>3448.4444444444443</v>
      </c>
      <c r="K40" s="42">
        <v>1085</v>
      </c>
      <c r="L40" s="42">
        <v>256</v>
      </c>
      <c r="M40" s="43">
        <v>69</v>
      </c>
    </row>
    <row r="41" spans="1:13" ht="18" hidden="1">
      <c r="A41" s="7">
        <v>41000</v>
      </c>
      <c r="B41" s="37">
        <f t="shared" si="7"/>
        <v>16123.5</v>
      </c>
      <c r="C41" s="33">
        <f t="shared" si="8"/>
        <v>161235</v>
      </c>
      <c r="D41" s="33">
        <v>25</v>
      </c>
      <c r="E41" s="33">
        <v>4406</v>
      </c>
      <c r="F41" s="33">
        <v>0</v>
      </c>
      <c r="G41" s="33">
        <f t="shared" si="10"/>
        <v>4431</v>
      </c>
      <c r="H41" s="33">
        <f t="shared" si="9"/>
        <v>35467</v>
      </c>
      <c r="I41" s="33">
        <f t="shared" si="11"/>
        <v>125768</v>
      </c>
      <c r="J41" s="11">
        <f>H41/10</f>
        <v>3546.7</v>
      </c>
      <c r="K41" s="42">
        <v>1146</v>
      </c>
      <c r="L41" s="42">
        <v>242</v>
      </c>
      <c r="M41" s="43">
        <v>54</v>
      </c>
    </row>
    <row r="42" spans="1:13" ht="18" hidden="1">
      <c r="A42" s="7">
        <v>41030</v>
      </c>
      <c r="B42" s="37">
        <f t="shared" si="7"/>
        <v>16123.5</v>
      </c>
      <c r="C42" s="33">
        <f t="shared" si="8"/>
        <v>177358.5</v>
      </c>
      <c r="D42" s="33">
        <v>0</v>
      </c>
      <c r="E42" s="33">
        <v>4556</v>
      </c>
      <c r="F42" s="33">
        <v>0</v>
      </c>
      <c r="G42" s="33">
        <f t="shared" si="10"/>
        <v>4556</v>
      </c>
      <c r="H42" s="33">
        <f t="shared" si="9"/>
        <v>40023</v>
      </c>
      <c r="I42" s="33">
        <f t="shared" si="11"/>
        <v>137335.5</v>
      </c>
      <c r="J42" s="11">
        <f>H42/11</f>
        <v>3638.4545454545455</v>
      </c>
      <c r="K42" s="42">
        <v>1050</v>
      </c>
      <c r="L42" s="42">
        <v>234</v>
      </c>
      <c r="M42" s="43">
        <v>0</v>
      </c>
    </row>
    <row r="43" spans="1:13" ht="18.75" hidden="1" thickBot="1">
      <c r="A43" s="7">
        <v>41061</v>
      </c>
      <c r="B43" s="39">
        <f t="shared" si="7"/>
        <v>16123.5</v>
      </c>
      <c r="C43" s="34">
        <f t="shared" si="8"/>
        <v>193482</v>
      </c>
      <c r="D43" s="34">
        <v>0</v>
      </c>
      <c r="E43" s="34">
        <v>5025</v>
      </c>
      <c r="F43" s="34">
        <v>0</v>
      </c>
      <c r="G43" s="34">
        <f t="shared" si="10"/>
        <v>5025</v>
      </c>
      <c r="H43" s="34">
        <f t="shared" si="9"/>
        <v>45048</v>
      </c>
      <c r="I43" s="34">
        <f t="shared" si="11"/>
        <v>148434</v>
      </c>
      <c r="J43" s="12">
        <f>H43/12</f>
        <v>3754</v>
      </c>
      <c r="K43" s="40">
        <v>1038</v>
      </c>
      <c r="L43" s="40">
        <v>224</v>
      </c>
      <c r="M43" s="41">
        <v>0</v>
      </c>
    </row>
    <row r="44" spans="1:13" ht="15" hidden="1">
      <c r="A44" s="7">
        <v>41091</v>
      </c>
      <c r="B44" s="37">
        <f aca="true" t="shared" si="12" ref="B44:B55">$B$86/12</f>
        <v>31197.166666666668</v>
      </c>
      <c r="C44" s="33">
        <f>B44</f>
        <v>31197.166666666668</v>
      </c>
      <c r="D44" s="33">
        <v>0</v>
      </c>
      <c r="E44" s="33">
        <v>4370</v>
      </c>
      <c r="F44" s="33">
        <v>0</v>
      </c>
      <c r="G44" s="33">
        <f t="shared" si="10"/>
        <v>4370</v>
      </c>
      <c r="H44" s="33">
        <f>G44</f>
        <v>4370</v>
      </c>
      <c r="I44" s="33">
        <f t="shared" si="11"/>
        <v>26827.166666666668</v>
      </c>
      <c r="J44" s="33">
        <f>H44/1</f>
        <v>4370</v>
      </c>
      <c r="K44" s="42">
        <v>1062</v>
      </c>
      <c r="L44" s="42">
        <v>209</v>
      </c>
      <c r="M44" s="43"/>
    </row>
    <row r="45" spans="1:13" ht="15" hidden="1">
      <c r="A45" s="7">
        <v>41122</v>
      </c>
      <c r="B45" s="37">
        <f t="shared" si="12"/>
        <v>31197.166666666668</v>
      </c>
      <c r="C45" s="33">
        <f aca="true" t="shared" si="13" ref="C45:C55">C44+B45</f>
        <v>62394.333333333336</v>
      </c>
      <c r="D45" s="33">
        <v>0</v>
      </c>
      <c r="E45" s="33">
        <v>6739</v>
      </c>
      <c r="F45" s="33">
        <v>0</v>
      </c>
      <c r="G45" s="33">
        <f t="shared" si="10"/>
        <v>6739</v>
      </c>
      <c r="H45" s="33">
        <f aca="true" t="shared" si="14" ref="H45:H55">H44+G45</f>
        <v>11109</v>
      </c>
      <c r="I45" s="33">
        <f t="shared" si="11"/>
        <v>51285.333333333336</v>
      </c>
      <c r="J45" s="33">
        <f>H45/2</f>
        <v>5554.5</v>
      </c>
      <c r="K45" s="42">
        <v>1046</v>
      </c>
      <c r="L45" s="42">
        <v>217</v>
      </c>
      <c r="M45" s="43"/>
    </row>
    <row r="46" spans="1:13" ht="15" hidden="1">
      <c r="A46" s="7">
        <v>41153</v>
      </c>
      <c r="B46" s="37">
        <f t="shared" si="12"/>
        <v>31197.166666666668</v>
      </c>
      <c r="C46" s="33">
        <f t="shared" si="13"/>
        <v>93591.5</v>
      </c>
      <c r="D46" s="33">
        <v>0</v>
      </c>
      <c r="E46" s="33">
        <v>2724</v>
      </c>
      <c r="F46" s="33">
        <v>0</v>
      </c>
      <c r="G46" s="33">
        <f t="shared" si="10"/>
        <v>2724</v>
      </c>
      <c r="H46" s="33">
        <f t="shared" si="14"/>
        <v>13833</v>
      </c>
      <c r="I46" s="33">
        <f t="shared" si="11"/>
        <v>79758.5</v>
      </c>
      <c r="J46" s="33">
        <f>H46/3</f>
        <v>4611</v>
      </c>
      <c r="K46" s="42">
        <v>1056</v>
      </c>
      <c r="L46" s="42">
        <v>213</v>
      </c>
      <c r="M46" s="43"/>
    </row>
    <row r="47" spans="1:13" ht="15" hidden="1">
      <c r="A47" s="7">
        <v>41183</v>
      </c>
      <c r="B47" s="37">
        <f t="shared" si="12"/>
        <v>31197.166666666668</v>
      </c>
      <c r="C47" s="33">
        <f t="shared" si="13"/>
        <v>124788.66666666667</v>
      </c>
      <c r="D47" s="33">
        <v>0</v>
      </c>
      <c r="E47" s="33">
        <v>2832</v>
      </c>
      <c r="F47" s="33">
        <v>0</v>
      </c>
      <c r="G47" s="33">
        <f t="shared" si="10"/>
        <v>2832</v>
      </c>
      <c r="H47" s="33">
        <f t="shared" si="14"/>
        <v>16665</v>
      </c>
      <c r="I47" s="33">
        <f t="shared" si="11"/>
        <v>108123.66666666667</v>
      </c>
      <c r="J47" s="33">
        <f>H47/4</f>
        <v>4166.25</v>
      </c>
      <c r="K47" s="42">
        <v>1038</v>
      </c>
      <c r="L47" s="42">
        <v>192</v>
      </c>
      <c r="M47" s="43"/>
    </row>
    <row r="48" spans="1:13" ht="15" hidden="1">
      <c r="A48" s="7">
        <v>41214</v>
      </c>
      <c r="B48" s="37">
        <f t="shared" si="12"/>
        <v>31197.166666666668</v>
      </c>
      <c r="C48" s="33">
        <f t="shared" si="13"/>
        <v>155985.83333333334</v>
      </c>
      <c r="D48" s="33">
        <v>50</v>
      </c>
      <c r="E48" s="33">
        <v>2934</v>
      </c>
      <c r="F48" s="33">
        <v>0</v>
      </c>
      <c r="G48" s="33">
        <f t="shared" si="10"/>
        <v>2984</v>
      </c>
      <c r="H48" s="33">
        <f t="shared" si="14"/>
        <v>19649</v>
      </c>
      <c r="I48" s="33">
        <f t="shared" si="11"/>
        <v>136336.83333333334</v>
      </c>
      <c r="J48" s="33">
        <f>H48/5</f>
        <v>3929.8</v>
      </c>
      <c r="K48" s="42">
        <v>1025</v>
      </c>
      <c r="L48" s="42">
        <v>186</v>
      </c>
      <c r="M48" s="43"/>
    </row>
    <row r="49" spans="1:13" ht="15" hidden="1">
      <c r="A49" s="7">
        <v>41244</v>
      </c>
      <c r="B49" s="37">
        <f t="shared" si="12"/>
        <v>31197.166666666668</v>
      </c>
      <c r="C49" s="33">
        <f t="shared" si="13"/>
        <v>187183</v>
      </c>
      <c r="D49" s="33">
        <v>0</v>
      </c>
      <c r="E49" s="33">
        <v>3157</v>
      </c>
      <c r="F49" s="33">
        <v>0</v>
      </c>
      <c r="G49" s="33">
        <f t="shared" si="10"/>
        <v>3157</v>
      </c>
      <c r="H49" s="33">
        <f t="shared" si="14"/>
        <v>22806</v>
      </c>
      <c r="I49" s="33">
        <f t="shared" si="11"/>
        <v>164377</v>
      </c>
      <c r="J49" s="33">
        <f>H49/6</f>
        <v>3801</v>
      </c>
      <c r="K49" s="42"/>
      <c r="L49" s="42"/>
      <c r="M49" s="43"/>
    </row>
    <row r="50" spans="1:13" ht="15" hidden="1">
      <c r="A50" s="7">
        <v>41275</v>
      </c>
      <c r="B50" s="37">
        <f t="shared" si="12"/>
        <v>31197.166666666668</v>
      </c>
      <c r="C50" s="33">
        <f t="shared" si="13"/>
        <v>218380.16666666666</v>
      </c>
      <c r="D50" s="33">
        <v>0</v>
      </c>
      <c r="E50" s="33">
        <v>3330</v>
      </c>
      <c r="F50" s="33">
        <v>0</v>
      </c>
      <c r="G50" s="33">
        <f t="shared" si="10"/>
        <v>3330</v>
      </c>
      <c r="H50" s="33">
        <f t="shared" si="14"/>
        <v>26136</v>
      </c>
      <c r="I50" s="33">
        <f t="shared" si="11"/>
        <v>192244.16666666666</v>
      </c>
      <c r="J50" s="33">
        <f>H50/7</f>
        <v>3733.714285714286</v>
      </c>
      <c r="K50" s="42"/>
      <c r="L50" s="42"/>
      <c r="M50" s="43"/>
    </row>
    <row r="51" spans="1:13" ht="15" hidden="1">
      <c r="A51" s="7">
        <v>41306</v>
      </c>
      <c r="B51" s="37">
        <f t="shared" si="12"/>
        <v>31197.166666666668</v>
      </c>
      <c r="C51" s="33">
        <f t="shared" si="13"/>
        <v>249577.3333333333</v>
      </c>
      <c r="D51" s="33">
        <v>0</v>
      </c>
      <c r="E51" s="33">
        <v>5209</v>
      </c>
      <c r="F51" s="33">
        <v>0</v>
      </c>
      <c r="G51" s="33">
        <f t="shared" si="10"/>
        <v>5209</v>
      </c>
      <c r="H51" s="33">
        <f t="shared" si="14"/>
        <v>31345</v>
      </c>
      <c r="I51" s="33">
        <f t="shared" si="11"/>
        <v>218232.3333333333</v>
      </c>
      <c r="J51" s="33">
        <f>H51/8</f>
        <v>3918.125</v>
      </c>
      <c r="K51" s="42"/>
      <c r="L51" s="42"/>
      <c r="M51" s="43"/>
    </row>
    <row r="52" spans="1:13" ht="15" hidden="1">
      <c r="A52" s="7">
        <v>41334</v>
      </c>
      <c r="B52" s="37">
        <f t="shared" si="12"/>
        <v>31197.166666666668</v>
      </c>
      <c r="C52" s="33">
        <f t="shared" si="13"/>
        <v>280774.5</v>
      </c>
      <c r="D52" s="33">
        <v>0</v>
      </c>
      <c r="E52" s="33">
        <v>5309</v>
      </c>
      <c r="F52" s="33">
        <v>0</v>
      </c>
      <c r="G52" s="33">
        <f t="shared" si="10"/>
        <v>5309</v>
      </c>
      <c r="H52" s="33">
        <f t="shared" si="14"/>
        <v>36654</v>
      </c>
      <c r="I52" s="33">
        <f t="shared" si="11"/>
        <v>244120.5</v>
      </c>
      <c r="J52" s="33">
        <f>H52/9</f>
        <v>4072.6666666666665</v>
      </c>
      <c r="K52" s="42"/>
      <c r="L52" s="42"/>
      <c r="M52" s="43"/>
    </row>
    <row r="53" spans="1:13" ht="15" hidden="1">
      <c r="A53" s="7">
        <v>41365</v>
      </c>
      <c r="B53" s="37">
        <f t="shared" si="12"/>
        <v>31197.166666666668</v>
      </c>
      <c r="C53" s="33">
        <f t="shared" si="13"/>
        <v>311971.6666666667</v>
      </c>
      <c r="D53" s="33">
        <v>0</v>
      </c>
      <c r="E53" s="33">
        <v>5483</v>
      </c>
      <c r="F53" s="33">
        <v>0</v>
      </c>
      <c r="G53" s="33">
        <f t="shared" si="10"/>
        <v>5483</v>
      </c>
      <c r="H53" s="33">
        <f t="shared" si="14"/>
        <v>42137</v>
      </c>
      <c r="I53" s="33">
        <f t="shared" si="11"/>
        <v>269834.6666666667</v>
      </c>
      <c r="J53" s="33">
        <f>H53/10</f>
        <v>4213.7</v>
      </c>
      <c r="K53" s="42"/>
      <c r="L53" s="42"/>
      <c r="M53" s="43"/>
    </row>
    <row r="54" spans="1:13" ht="15" hidden="1">
      <c r="A54" s="7">
        <v>41395</v>
      </c>
      <c r="B54" s="37">
        <f t="shared" si="12"/>
        <v>31197.166666666668</v>
      </c>
      <c r="C54" s="33">
        <f t="shared" si="13"/>
        <v>343168.8333333334</v>
      </c>
      <c r="D54" s="33">
        <v>0</v>
      </c>
      <c r="E54" s="33">
        <v>8320</v>
      </c>
      <c r="F54" s="33">
        <v>0</v>
      </c>
      <c r="G54" s="33">
        <f t="shared" si="10"/>
        <v>8320</v>
      </c>
      <c r="H54" s="33">
        <f t="shared" si="14"/>
        <v>50457</v>
      </c>
      <c r="I54" s="33">
        <f t="shared" si="11"/>
        <v>292711.8333333334</v>
      </c>
      <c r="J54" s="33">
        <f>H54/11</f>
        <v>4587</v>
      </c>
      <c r="K54" s="42"/>
      <c r="L54" s="42"/>
      <c r="M54" s="43"/>
    </row>
    <row r="55" spans="1:13" ht="15.75" hidden="1" thickBot="1">
      <c r="A55" s="7">
        <v>41426</v>
      </c>
      <c r="B55" s="39">
        <f t="shared" si="12"/>
        <v>31197.166666666668</v>
      </c>
      <c r="C55" s="34">
        <f t="shared" si="13"/>
        <v>374366.00000000006</v>
      </c>
      <c r="D55" s="34">
        <v>0</v>
      </c>
      <c r="E55" s="34">
        <v>10635</v>
      </c>
      <c r="F55" s="34">
        <v>0</v>
      </c>
      <c r="G55" s="34">
        <f t="shared" si="10"/>
        <v>10635</v>
      </c>
      <c r="H55" s="34">
        <f t="shared" si="14"/>
        <v>61092</v>
      </c>
      <c r="I55" s="34">
        <f t="shared" si="11"/>
        <v>313274.00000000006</v>
      </c>
      <c r="J55" s="34">
        <f>H55/12</f>
        <v>5091</v>
      </c>
      <c r="K55" s="40"/>
      <c r="L55" s="40"/>
      <c r="M55" s="41"/>
    </row>
    <row r="56" spans="1:13" ht="15" hidden="1">
      <c r="A56" s="7">
        <v>41456</v>
      </c>
      <c r="B56" s="37">
        <f>$B$91/24</f>
        <v>26132.125</v>
      </c>
      <c r="C56" s="33">
        <f>B56</f>
        <v>26132.125</v>
      </c>
      <c r="D56" s="33">
        <v>0</v>
      </c>
      <c r="E56" s="33">
        <v>7885</v>
      </c>
      <c r="F56" s="33">
        <v>0</v>
      </c>
      <c r="G56" s="33">
        <f t="shared" si="10"/>
        <v>7885</v>
      </c>
      <c r="H56" s="33">
        <f>G56</f>
        <v>7885</v>
      </c>
      <c r="I56" s="33">
        <f t="shared" si="11"/>
        <v>18247.125</v>
      </c>
      <c r="J56" s="33">
        <f>H56</f>
        <v>7885</v>
      </c>
      <c r="K56" s="42">
        <v>786</v>
      </c>
      <c r="L56" s="42">
        <v>146</v>
      </c>
      <c r="M56" s="43"/>
    </row>
    <row r="57" spans="1:13" ht="15" hidden="1">
      <c r="A57" s="7">
        <v>41487</v>
      </c>
      <c r="B57" s="37">
        <f aca="true" t="shared" si="15" ref="B57:B78">$B$91/24</f>
        <v>26132.125</v>
      </c>
      <c r="C57" s="33">
        <f aca="true" t="shared" si="16" ref="C57:C79">C56+B57</f>
        <v>52264.25</v>
      </c>
      <c r="D57" s="33">
        <v>0</v>
      </c>
      <c r="E57" s="33">
        <v>6739</v>
      </c>
      <c r="F57" s="33">
        <v>0</v>
      </c>
      <c r="G57" s="33">
        <f t="shared" si="10"/>
        <v>6739</v>
      </c>
      <c r="H57" s="33">
        <f aca="true" t="shared" si="17" ref="H57:H62">G57+H56</f>
        <v>14624</v>
      </c>
      <c r="I57" s="33">
        <f t="shared" si="11"/>
        <v>37640.25</v>
      </c>
      <c r="J57" s="33">
        <f>H57/2</f>
        <v>7312</v>
      </c>
      <c r="K57" s="42">
        <v>795</v>
      </c>
      <c r="L57" s="42">
        <v>150</v>
      </c>
      <c r="M57" s="43"/>
    </row>
    <row r="58" spans="1:13" ht="15" hidden="1">
      <c r="A58" s="7">
        <v>41518</v>
      </c>
      <c r="B58" s="37">
        <f t="shared" si="15"/>
        <v>26132.125</v>
      </c>
      <c r="C58" s="33">
        <f t="shared" si="16"/>
        <v>78396.375</v>
      </c>
      <c r="D58" s="33">
        <v>0</v>
      </c>
      <c r="E58" s="33">
        <v>7180</v>
      </c>
      <c r="F58" s="33">
        <v>0</v>
      </c>
      <c r="G58" s="33">
        <f t="shared" si="10"/>
        <v>7180</v>
      </c>
      <c r="H58" s="33">
        <f t="shared" si="17"/>
        <v>21804</v>
      </c>
      <c r="I58" s="33">
        <f t="shared" si="11"/>
        <v>56592.375</v>
      </c>
      <c r="J58" s="33">
        <f>H58/3</f>
        <v>7268</v>
      </c>
      <c r="K58" s="42">
        <v>819</v>
      </c>
      <c r="L58" s="42">
        <v>202</v>
      </c>
      <c r="M58" s="43"/>
    </row>
    <row r="59" spans="1:13" ht="15" hidden="1">
      <c r="A59" s="7">
        <v>41548</v>
      </c>
      <c r="B59" s="37">
        <f t="shared" si="15"/>
        <v>26132.125</v>
      </c>
      <c r="C59" s="33">
        <f t="shared" si="16"/>
        <v>104528.5</v>
      </c>
      <c r="D59" s="33">
        <v>0</v>
      </c>
      <c r="E59" s="33">
        <v>10402.41</v>
      </c>
      <c r="F59" s="33">
        <v>0</v>
      </c>
      <c r="G59" s="33">
        <f t="shared" si="10"/>
        <v>10402.41</v>
      </c>
      <c r="H59" s="33">
        <f t="shared" si="17"/>
        <v>32206.41</v>
      </c>
      <c r="I59" s="33">
        <f t="shared" si="11"/>
        <v>72322.09</v>
      </c>
      <c r="J59" s="33">
        <f>H59/4</f>
        <v>8051.6025</v>
      </c>
      <c r="K59" s="42">
        <v>799</v>
      </c>
      <c r="L59" s="42">
        <v>157</v>
      </c>
      <c r="M59" s="43"/>
    </row>
    <row r="60" spans="1:13" ht="15" hidden="1">
      <c r="A60" s="7">
        <v>41579</v>
      </c>
      <c r="B60" s="37">
        <f t="shared" si="15"/>
        <v>26132.125</v>
      </c>
      <c r="C60" s="33">
        <f t="shared" si="16"/>
        <v>130660.625</v>
      </c>
      <c r="D60" s="33">
        <v>0</v>
      </c>
      <c r="E60" s="33">
        <v>11578.79</v>
      </c>
      <c r="F60" s="33">
        <v>0</v>
      </c>
      <c r="G60" s="33">
        <f t="shared" si="10"/>
        <v>11578.79</v>
      </c>
      <c r="H60" s="33">
        <f t="shared" si="17"/>
        <v>43785.2</v>
      </c>
      <c r="I60" s="33">
        <f aca="true" t="shared" si="18" ref="I60:I65">C60-H60</f>
        <v>86875.425</v>
      </c>
      <c r="J60" s="33">
        <f>H60/5</f>
        <v>8757.039999999999</v>
      </c>
      <c r="K60" s="42">
        <v>789</v>
      </c>
      <c r="L60" s="42">
        <v>168</v>
      </c>
      <c r="M60" s="43"/>
    </row>
    <row r="61" spans="1:13" ht="15" hidden="1">
      <c r="A61" s="7">
        <v>41609</v>
      </c>
      <c r="B61" s="37">
        <f t="shared" si="15"/>
        <v>26132.125</v>
      </c>
      <c r="C61" s="33">
        <f t="shared" si="16"/>
        <v>156792.75</v>
      </c>
      <c r="D61" s="33">
        <v>0</v>
      </c>
      <c r="E61" s="33">
        <v>6421.15</v>
      </c>
      <c r="F61" s="33">
        <v>0</v>
      </c>
      <c r="G61" s="33">
        <f t="shared" si="10"/>
        <v>6421.15</v>
      </c>
      <c r="H61" s="33">
        <f t="shared" si="17"/>
        <v>50206.35</v>
      </c>
      <c r="I61" s="33">
        <f t="shared" si="18"/>
        <v>106586.4</v>
      </c>
      <c r="J61" s="33">
        <f>H61/6</f>
        <v>8367.725</v>
      </c>
      <c r="K61" s="42">
        <v>779</v>
      </c>
      <c r="L61" s="42">
        <v>161</v>
      </c>
      <c r="M61" s="43"/>
    </row>
    <row r="62" spans="1:13" ht="15" hidden="1">
      <c r="A62" s="7">
        <v>41640</v>
      </c>
      <c r="B62" s="37">
        <f t="shared" si="15"/>
        <v>26132.125</v>
      </c>
      <c r="C62" s="33">
        <f t="shared" si="16"/>
        <v>182924.875</v>
      </c>
      <c r="D62" s="33">
        <v>0</v>
      </c>
      <c r="E62" s="33">
        <v>13485.15</v>
      </c>
      <c r="F62" s="33">
        <v>0</v>
      </c>
      <c r="G62" s="33">
        <f t="shared" si="10"/>
        <v>13485.15</v>
      </c>
      <c r="H62" s="33">
        <f t="shared" si="17"/>
        <v>63691.5</v>
      </c>
      <c r="I62" s="33">
        <f t="shared" si="18"/>
        <v>119233.375</v>
      </c>
      <c r="J62" s="33">
        <f>H62/7</f>
        <v>9098.785714285714</v>
      </c>
      <c r="K62" s="42">
        <v>816</v>
      </c>
      <c r="L62" s="42">
        <v>228</v>
      </c>
      <c r="M62" s="43"/>
    </row>
    <row r="63" spans="1:13" ht="15" hidden="1">
      <c r="A63" s="7">
        <v>41671</v>
      </c>
      <c r="B63" s="37">
        <f t="shared" si="15"/>
        <v>26132.125</v>
      </c>
      <c r="C63" s="33">
        <f t="shared" si="16"/>
        <v>209057</v>
      </c>
      <c r="D63" s="33">
        <v>0</v>
      </c>
      <c r="E63" s="33">
        <v>12558.23</v>
      </c>
      <c r="F63" s="33">
        <v>0</v>
      </c>
      <c r="G63" s="33">
        <f t="shared" si="10"/>
        <v>12558.23</v>
      </c>
      <c r="H63" s="33">
        <f aca="true" t="shared" si="19" ref="H63:H68">G63+H62</f>
        <v>76249.73</v>
      </c>
      <c r="I63" s="33">
        <f t="shared" si="18"/>
        <v>132807.27000000002</v>
      </c>
      <c r="J63" s="33">
        <f>H63/8</f>
        <v>9531.21625</v>
      </c>
      <c r="K63" s="42">
        <v>805</v>
      </c>
      <c r="L63" s="42">
        <v>246</v>
      </c>
      <c r="M63" s="43"/>
    </row>
    <row r="64" spans="1:13" ht="15" hidden="1">
      <c r="A64" s="7">
        <v>41699</v>
      </c>
      <c r="B64" s="37">
        <f t="shared" si="15"/>
        <v>26132.125</v>
      </c>
      <c r="C64" s="33">
        <f t="shared" si="16"/>
        <v>235189.125</v>
      </c>
      <c r="D64" s="33">
        <v>0</v>
      </c>
      <c r="E64" s="33">
        <v>14756.8</v>
      </c>
      <c r="F64" s="33">
        <v>0</v>
      </c>
      <c r="G64" s="33">
        <f t="shared" si="10"/>
        <v>14756.8</v>
      </c>
      <c r="H64" s="33">
        <f t="shared" si="19"/>
        <v>91006.53</v>
      </c>
      <c r="I64" s="33">
        <f t="shared" si="18"/>
        <v>144182.595</v>
      </c>
      <c r="J64" s="33">
        <f>H64/9</f>
        <v>10111.836666666666</v>
      </c>
      <c r="K64" s="42">
        <v>786</v>
      </c>
      <c r="L64" s="42">
        <v>278</v>
      </c>
      <c r="M64" s="43"/>
    </row>
    <row r="65" spans="1:13" ht="15" hidden="1">
      <c r="A65" s="7">
        <v>41730</v>
      </c>
      <c r="B65" s="37">
        <f t="shared" si="15"/>
        <v>26132.125</v>
      </c>
      <c r="C65" s="33">
        <f t="shared" si="16"/>
        <v>261321.25</v>
      </c>
      <c r="D65" s="33">
        <v>0</v>
      </c>
      <c r="E65" s="33">
        <v>18161.39</v>
      </c>
      <c r="F65" s="33">
        <v>0</v>
      </c>
      <c r="G65" s="33">
        <f t="shared" si="10"/>
        <v>18161.39</v>
      </c>
      <c r="H65" s="33">
        <f t="shared" si="19"/>
        <v>109167.92</v>
      </c>
      <c r="I65" s="33">
        <f t="shared" si="18"/>
        <v>152153.33000000002</v>
      </c>
      <c r="J65" s="33">
        <f>H65/10</f>
        <v>10916.792</v>
      </c>
      <c r="K65" s="42">
        <v>756</v>
      </c>
      <c r="L65" s="42">
        <v>302</v>
      </c>
      <c r="M65" s="43"/>
    </row>
    <row r="66" spans="1:13" ht="15" hidden="1">
      <c r="A66" s="7">
        <v>41760</v>
      </c>
      <c r="B66" s="37">
        <f t="shared" si="15"/>
        <v>26132.125</v>
      </c>
      <c r="C66" s="33">
        <f t="shared" si="16"/>
        <v>287453.375</v>
      </c>
      <c r="D66" s="33">
        <v>0</v>
      </c>
      <c r="E66" s="33">
        <v>21429.83</v>
      </c>
      <c r="F66" s="33">
        <v>0</v>
      </c>
      <c r="G66" s="33">
        <f t="shared" si="10"/>
        <v>21429.83</v>
      </c>
      <c r="H66" s="33">
        <f t="shared" si="19"/>
        <v>130597.75</v>
      </c>
      <c r="I66" s="33">
        <f aca="true" t="shared" si="20" ref="I66:I71">C66-H66</f>
        <v>156855.625</v>
      </c>
      <c r="J66" s="33">
        <f>H66/11</f>
        <v>11872.522727272728</v>
      </c>
      <c r="K66" s="42">
        <v>746</v>
      </c>
      <c r="L66" s="42">
        <v>366</v>
      </c>
      <c r="M66" s="43"/>
    </row>
    <row r="67" spans="1:13" ht="15" hidden="1">
      <c r="A67" s="7">
        <v>41791</v>
      </c>
      <c r="B67" s="37">
        <f t="shared" si="15"/>
        <v>26132.125</v>
      </c>
      <c r="C67" s="33">
        <f t="shared" si="16"/>
        <v>313585.5</v>
      </c>
      <c r="D67" s="33">
        <v>0</v>
      </c>
      <c r="E67" s="33">
        <v>26713</v>
      </c>
      <c r="F67" s="33">
        <v>0</v>
      </c>
      <c r="G67" s="33">
        <f aca="true" t="shared" si="21" ref="G67:G74">D67+E67+F67</f>
        <v>26713</v>
      </c>
      <c r="H67" s="33">
        <f t="shared" si="19"/>
        <v>157310.75</v>
      </c>
      <c r="I67" s="33">
        <f t="shared" si="20"/>
        <v>156274.75</v>
      </c>
      <c r="J67" s="33">
        <f>H67/12</f>
        <v>13109.229166666666</v>
      </c>
      <c r="K67" s="42">
        <v>725</v>
      </c>
      <c r="L67" s="42">
        <v>370</v>
      </c>
      <c r="M67" s="43"/>
    </row>
    <row r="68" spans="1:13" ht="15">
      <c r="A68" s="7">
        <v>41821</v>
      </c>
      <c r="B68" s="37">
        <f t="shared" si="15"/>
        <v>26132.125</v>
      </c>
      <c r="C68" s="33">
        <f t="shared" si="16"/>
        <v>339717.625</v>
      </c>
      <c r="D68" s="33">
        <v>0</v>
      </c>
      <c r="E68" s="33">
        <v>31782</v>
      </c>
      <c r="F68" s="33">
        <v>0</v>
      </c>
      <c r="G68" s="33">
        <f t="shared" si="21"/>
        <v>31782</v>
      </c>
      <c r="H68" s="33">
        <f t="shared" si="19"/>
        <v>189092.75</v>
      </c>
      <c r="I68" s="33">
        <f t="shared" si="20"/>
        <v>150624.875</v>
      </c>
      <c r="J68" s="33">
        <f>H68/13</f>
        <v>14545.596153846154</v>
      </c>
      <c r="K68" s="42">
        <v>720</v>
      </c>
      <c r="L68" s="42">
        <v>361</v>
      </c>
      <c r="M68" s="43"/>
    </row>
    <row r="69" spans="1:13" ht="15">
      <c r="A69" s="7">
        <v>41852</v>
      </c>
      <c r="B69" s="37">
        <f t="shared" si="15"/>
        <v>26132.125</v>
      </c>
      <c r="C69" s="33">
        <f t="shared" si="16"/>
        <v>365849.75</v>
      </c>
      <c r="D69" s="33">
        <v>0</v>
      </c>
      <c r="E69" s="33">
        <v>34846</v>
      </c>
      <c r="F69" s="33">
        <v>0</v>
      </c>
      <c r="G69" s="33">
        <f t="shared" si="21"/>
        <v>34846</v>
      </c>
      <c r="H69" s="33">
        <f aca="true" t="shared" si="22" ref="H69:H74">G69+H68</f>
        <v>223938.75</v>
      </c>
      <c r="I69" s="33">
        <f t="shared" si="20"/>
        <v>141911</v>
      </c>
      <c r="J69" s="33">
        <f>H69/14</f>
        <v>15995.625</v>
      </c>
      <c r="K69" s="42">
        <v>686</v>
      </c>
      <c r="L69" s="42">
        <v>412</v>
      </c>
      <c r="M69" s="43"/>
    </row>
    <row r="70" spans="1:13" ht="15">
      <c r="A70" s="7">
        <v>41883</v>
      </c>
      <c r="B70" s="37">
        <f t="shared" si="15"/>
        <v>26132.125</v>
      </c>
      <c r="C70" s="33">
        <f t="shared" si="16"/>
        <v>391981.875</v>
      </c>
      <c r="D70" s="33">
        <v>0</v>
      </c>
      <c r="E70" s="33">
        <v>27710</v>
      </c>
      <c r="F70" s="33">
        <v>0</v>
      </c>
      <c r="G70" s="33">
        <f t="shared" si="21"/>
        <v>27710</v>
      </c>
      <c r="H70" s="33">
        <f t="shared" si="22"/>
        <v>251648.75</v>
      </c>
      <c r="I70" s="33">
        <f t="shared" si="20"/>
        <v>140333.125</v>
      </c>
      <c r="J70" s="33">
        <f>H70/15</f>
        <v>16776.583333333332</v>
      </c>
      <c r="K70" s="42">
        <v>658</v>
      </c>
      <c r="L70" s="42">
        <v>404</v>
      </c>
      <c r="M70" s="43"/>
    </row>
    <row r="71" spans="1:13" ht="15">
      <c r="A71" s="7">
        <v>41913</v>
      </c>
      <c r="B71" s="37">
        <f t="shared" si="15"/>
        <v>26132.125</v>
      </c>
      <c r="C71" s="33">
        <f t="shared" si="16"/>
        <v>418114</v>
      </c>
      <c r="D71" s="33">
        <v>0</v>
      </c>
      <c r="E71" s="33">
        <v>38741</v>
      </c>
      <c r="F71" s="33">
        <v>0</v>
      </c>
      <c r="G71" s="33">
        <f t="shared" si="21"/>
        <v>38741</v>
      </c>
      <c r="H71" s="33">
        <f t="shared" si="22"/>
        <v>290389.75</v>
      </c>
      <c r="I71" s="33">
        <f t="shared" si="20"/>
        <v>127724.25</v>
      </c>
      <c r="J71" s="33">
        <f>H71/16</f>
        <v>18149.359375</v>
      </c>
      <c r="K71" s="42">
        <v>657</v>
      </c>
      <c r="L71" s="42">
        <v>405</v>
      </c>
      <c r="M71" s="43"/>
    </row>
    <row r="72" spans="1:13" ht="15">
      <c r="A72" s="7">
        <v>41944</v>
      </c>
      <c r="B72" s="37">
        <f t="shared" si="15"/>
        <v>26132.125</v>
      </c>
      <c r="C72" s="33">
        <f t="shared" si="16"/>
        <v>444246.125</v>
      </c>
      <c r="D72" s="33">
        <v>0</v>
      </c>
      <c r="E72" s="33">
        <v>31414</v>
      </c>
      <c r="F72" s="33">
        <v>0</v>
      </c>
      <c r="G72" s="33">
        <f t="shared" si="21"/>
        <v>31414</v>
      </c>
      <c r="H72" s="33">
        <f t="shared" si="22"/>
        <v>321803.75</v>
      </c>
      <c r="I72" s="33">
        <f>C72-H72</f>
        <v>122442.375</v>
      </c>
      <c r="J72" s="33">
        <f>H72/17</f>
        <v>18929.632352941175</v>
      </c>
      <c r="K72" s="42">
        <v>637</v>
      </c>
      <c r="L72" s="42">
        <v>433</v>
      </c>
      <c r="M72" s="43"/>
    </row>
    <row r="73" spans="1:13" ht="15">
      <c r="A73" s="7">
        <v>41974</v>
      </c>
      <c r="B73" s="37">
        <f t="shared" si="15"/>
        <v>26132.125</v>
      </c>
      <c r="C73" s="33">
        <f t="shared" si="16"/>
        <v>470378.25</v>
      </c>
      <c r="D73" s="33">
        <v>0</v>
      </c>
      <c r="E73" s="33">
        <v>30488</v>
      </c>
      <c r="F73" s="33">
        <v>0</v>
      </c>
      <c r="G73" s="33">
        <f t="shared" si="21"/>
        <v>30488</v>
      </c>
      <c r="H73" s="33">
        <f t="shared" si="22"/>
        <v>352291.75</v>
      </c>
      <c r="I73" s="33">
        <f>C73-H73</f>
        <v>118086.5</v>
      </c>
      <c r="J73" s="33">
        <f>H73/18</f>
        <v>19571.76388888889</v>
      </c>
      <c r="K73" s="42">
        <v>580</v>
      </c>
      <c r="L73" s="42">
        <v>354</v>
      </c>
      <c r="M73" s="43"/>
    </row>
    <row r="74" spans="1:13" ht="15">
      <c r="A74" s="7">
        <v>42005</v>
      </c>
      <c r="B74" s="37">
        <f t="shared" si="15"/>
        <v>26132.125</v>
      </c>
      <c r="C74" s="33">
        <f t="shared" si="16"/>
        <v>496510.375</v>
      </c>
      <c r="D74" s="33">
        <v>0</v>
      </c>
      <c r="E74" s="33">
        <v>28601</v>
      </c>
      <c r="F74" s="33">
        <v>0</v>
      </c>
      <c r="G74" s="33">
        <f t="shared" si="21"/>
        <v>28601</v>
      </c>
      <c r="H74" s="33">
        <f t="shared" si="22"/>
        <v>380892.75</v>
      </c>
      <c r="I74" s="33">
        <f>C74-H74</f>
        <v>115617.625</v>
      </c>
      <c r="J74" s="33">
        <f>H74/19</f>
        <v>20046.986842105263</v>
      </c>
      <c r="K74" s="42">
        <v>548</v>
      </c>
      <c r="L74" s="42">
        <v>397</v>
      </c>
      <c r="M74" s="43"/>
    </row>
    <row r="75" spans="1:13" ht="15">
      <c r="A75" s="7">
        <v>42036</v>
      </c>
      <c r="B75" s="37">
        <f t="shared" si="15"/>
        <v>26132.125</v>
      </c>
      <c r="C75" s="33">
        <f t="shared" si="16"/>
        <v>522642.5</v>
      </c>
      <c r="D75" s="33"/>
      <c r="E75" s="33"/>
      <c r="F75" s="33"/>
      <c r="G75" s="33"/>
      <c r="H75" s="33"/>
      <c r="I75" s="33"/>
      <c r="J75" s="33"/>
      <c r="K75" s="42"/>
      <c r="L75" s="42"/>
      <c r="M75" s="43"/>
    </row>
    <row r="76" spans="1:13" ht="15">
      <c r="A76" s="7">
        <v>42064</v>
      </c>
      <c r="B76" s="37">
        <f t="shared" si="15"/>
        <v>26132.125</v>
      </c>
      <c r="C76" s="33">
        <f t="shared" si="16"/>
        <v>548774.625</v>
      </c>
      <c r="D76" s="33"/>
      <c r="E76" s="33"/>
      <c r="F76" s="33"/>
      <c r="G76" s="33"/>
      <c r="H76" s="33"/>
      <c r="I76" s="33"/>
      <c r="J76" s="33"/>
      <c r="K76" s="42"/>
      <c r="L76" s="42"/>
      <c r="M76" s="43"/>
    </row>
    <row r="77" spans="1:13" ht="15">
      <c r="A77" s="7">
        <v>42095</v>
      </c>
      <c r="B77" s="37">
        <f t="shared" si="15"/>
        <v>26132.125</v>
      </c>
      <c r="C77" s="33">
        <f t="shared" si="16"/>
        <v>574906.75</v>
      </c>
      <c r="D77" s="33"/>
      <c r="E77" s="33"/>
      <c r="F77" s="33"/>
      <c r="G77" s="33"/>
      <c r="H77" s="33"/>
      <c r="I77" s="33"/>
      <c r="J77" s="33"/>
      <c r="K77" s="42"/>
      <c r="L77" s="42"/>
      <c r="M77" s="43"/>
    </row>
    <row r="78" spans="1:13" ht="15">
      <c r="A78" s="7">
        <v>42125</v>
      </c>
      <c r="B78" s="37">
        <f t="shared" si="15"/>
        <v>26132.125</v>
      </c>
      <c r="C78" s="33">
        <f t="shared" si="16"/>
        <v>601038.875</v>
      </c>
      <c r="D78" s="33"/>
      <c r="E78" s="33"/>
      <c r="F78" s="33"/>
      <c r="G78" s="33"/>
      <c r="H78" s="33"/>
      <c r="I78" s="33"/>
      <c r="J78" s="33"/>
      <c r="K78" s="42"/>
      <c r="L78" s="42"/>
      <c r="M78" s="43"/>
    </row>
    <row r="79" spans="1:13" ht="15">
      <c r="A79" s="7">
        <v>42156</v>
      </c>
      <c r="B79" s="37">
        <f>$B$91/24</f>
        <v>26132.125</v>
      </c>
      <c r="C79" s="33">
        <f t="shared" si="16"/>
        <v>627171</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1131958</v>
      </c>
      <c r="C81" s="25">
        <f>SUM(B8:B19)</f>
        <v>1131958.0000000002</v>
      </c>
      <c r="D81" s="25">
        <f>SUM(D8:D19)</f>
        <v>240420</v>
      </c>
      <c r="E81" s="25">
        <f>SUM(E8:E19)</f>
        <v>1112544</v>
      </c>
      <c r="F81" s="25"/>
      <c r="G81" s="25">
        <f>SUM(G8:G19)</f>
        <v>1352964</v>
      </c>
      <c r="H81" s="25">
        <f>G81</f>
        <v>1352964</v>
      </c>
      <c r="I81" s="25">
        <f>I20</f>
        <v>35170.600000000006</v>
      </c>
      <c r="J81" s="25">
        <f>J19</f>
        <v>115379.2</v>
      </c>
      <c r="K81" s="30">
        <f>SUM(K8:K19)</f>
        <v>6388</v>
      </c>
      <c r="L81" s="30">
        <f>SUM(L8:L19)</f>
        <v>5134</v>
      </c>
      <c r="M81" s="30">
        <f>SUM(M8:M19)</f>
        <v>406</v>
      </c>
    </row>
    <row r="82" spans="1:13" ht="15" hidden="1">
      <c r="A82" s="20" t="s">
        <v>22</v>
      </c>
      <c r="B82" s="25">
        <v>1578195</v>
      </c>
      <c r="C82" s="25">
        <f>C31</f>
        <v>1578195</v>
      </c>
      <c r="D82" s="25">
        <f>SUM(D20:D31)</f>
        <v>181368</v>
      </c>
      <c r="E82" s="25">
        <f>SUM(E20:E31)</f>
        <v>905596</v>
      </c>
      <c r="F82" s="25"/>
      <c r="G82" s="25">
        <f>SUM(G20:G31)</f>
        <v>1086964</v>
      </c>
      <c r="H82" s="25">
        <f>G82</f>
        <v>1086964</v>
      </c>
      <c r="I82" s="25">
        <f>I31</f>
        <v>491231</v>
      </c>
      <c r="J82" s="25">
        <f>AVERAGE(G20:G31)</f>
        <v>90580.33333333333</v>
      </c>
      <c r="K82" s="30">
        <f>SUM(K20:K31)</f>
        <v>8708</v>
      </c>
      <c r="L82" s="30">
        <f>SUM(L20:L31)</f>
        <v>6602</v>
      </c>
      <c r="M82" s="30">
        <f>SUM(M20:M31)</f>
        <v>1453</v>
      </c>
    </row>
    <row r="83" spans="1:13" ht="15" hidden="1">
      <c r="A83" s="20" t="s">
        <v>23</v>
      </c>
      <c r="B83" s="25">
        <f>SUM(B81:B82)</f>
        <v>2710153</v>
      </c>
      <c r="C83" s="25">
        <f>SUM(C81:C82)</f>
        <v>2710153</v>
      </c>
      <c r="D83" s="25">
        <f>D81+D82</f>
        <v>421788</v>
      </c>
      <c r="E83" s="25">
        <f>E81+E82</f>
        <v>2018140</v>
      </c>
      <c r="F83" s="25"/>
      <c r="G83" s="25">
        <f>G81+G82</f>
        <v>2439928</v>
      </c>
      <c r="H83" s="25">
        <f>H81+H82</f>
        <v>2439928</v>
      </c>
      <c r="I83" s="25"/>
      <c r="J83" s="25">
        <f>AVERAGE(G8:G31)</f>
        <v>101663.66666666667</v>
      </c>
      <c r="K83" s="27">
        <f>SUM(K81:K82)</f>
        <v>15096</v>
      </c>
      <c r="L83" s="27">
        <f>SUM(L81:L82)</f>
        <v>11736</v>
      </c>
      <c r="M83" s="27">
        <f>SUM(M81:M82)</f>
        <v>1859</v>
      </c>
    </row>
    <row r="84" spans="1:12" ht="15" hidden="1">
      <c r="A84" s="20"/>
      <c r="B84" s="25"/>
      <c r="C84" s="25"/>
      <c r="D84" s="25"/>
      <c r="E84" s="25"/>
      <c r="F84" s="25"/>
      <c r="G84" s="25"/>
      <c r="H84" s="25"/>
      <c r="I84" s="25"/>
      <c r="J84" s="25"/>
      <c r="K84" s="27"/>
      <c r="L84" s="27"/>
    </row>
    <row r="85" spans="1:13" ht="15" hidden="1">
      <c r="A85" s="20" t="s">
        <v>24</v>
      </c>
      <c r="B85" s="25">
        <v>193482</v>
      </c>
      <c r="C85" s="25">
        <f>C43</f>
        <v>193482</v>
      </c>
      <c r="D85" s="25">
        <f>SUM(D32:D43)</f>
        <v>135</v>
      </c>
      <c r="E85" s="25">
        <f>SUM(E32:E43)</f>
        <v>45288</v>
      </c>
      <c r="F85" s="25">
        <f>SUM(F32:F66)</f>
        <v>-375</v>
      </c>
      <c r="G85" s="25">
        <f>SUM(G32:G43)</f>
        <v>45048</v>
      </c>
      <c r="H85" s="25">
        <f>G85</f>
        <v>45048</v>
      </c>
      <c r="I85" s="25">
        <f>I43</f>
        <v>148434</v>
      </c>
      <c r="J85" s="25">
        <f>AVERAGE(G32:G43)</f>
        <v>3754</v>
      </c>
      <c r="K85" s="30">
        <f>SUM(K32:K43)</f>
        <v>11897</v>
      </c>
      <c r="L85" s="30">
        <f>SUM(L32:L43)</f>
        <v>2712</v>
      </c>
      <c r="M85" s="4">
        <f>SUM(M32:M43)</f>
        <v>677</v>
      </c>
    </row>
    <row r="86" spans="1:13" ht="15" hidden="1">
      <c r="A86" s="20" t="s">
        <v>25</v>
      </c>
      <c r="B86" s="25">
        <v>374366</v>
      </c>
      <c r="C86" s="25">
        <f>SUM(B44:B55)</f>
        <v>374366.00000000006</v>
      </c>
      <c r="D86" s="25">
        <f>SUM(D44:D55)</f>
        <v>50</v>
      </c>
      <c r="E86" s="25">
        <f>SUM(E44:E55)</f>
        <v>61042</v>
      </c>
      <c r="F86" s="25">
        <f>SUM(F44:F55)</f>
        <v>0</v>
      </c>
      <c r="G86" s="25">
        <f>SUM(G44:G55)</f>
        <v>61092</v>
      </c>
      <c r="H86" s="25">
        <f>G86</f>
        <v>61092</v>
      </c>
      <c r="I86" s="25">
        <f>I55</f>
        <v>313274.00000000006</v>
      </c>
      <c r="J86" s="25">
        <f>J55</f>
        <v>5091</v>
      </c>
      <c r="K86" s="30">
        <f>SUM(K44:K55)</f>
        <v>5227</v>
      </c>
      <c r="L86" s="30">
        <f>SUM(L44:L55)</f>
        <v>1017</v>
      </c>
      <c r="M86" s="44">
        <f>SUM(M44:M55)</f>
        <v>0</v>
      </c>
    </row>
    <row r="87" spans="1:13" ht="15" hidden="1">
      <c r="A87" s="20" t="s">
        <v>26</v>
      </c>
      <c r="B87" s="25">
        <f>B85+B86</f>
        <v>567848</v>
      </c>
      <c r="C87" s="25">
        <f aca="true" t="shared" si="23" ref="C87:M87">SUM(C85:C86)</f>
        <v>567848</v>
      </c>
      <c r="D87" s="25">
        <f t="shared" si="23"/>
        <v>185</v>
      </c>
      <c r="E87" s="25">
        <f t="shared" si="23"/>
        <v>106330</v>
      </c>
      <c r="F87" s="25">
        <f t="shared" si="23"/>
        <v>-375</v>
      </c>
      <c r="G87" s="25">
        <f t="shared" si="23"/>
        <v>106140</v>
      </c>
      <c r="H87" s="25">
        <f t="shared" si="23"/>
        <v>106140</v>
      </c>
      <c r="I87" s="25">
        <f t="shared" si="23"/>
        <v>461708.00000000006</v>
      </c>
      <c r="J87" s="25">
        <f t="shared" si="23"/>
        <v>8845</v>
      </c>
      <c r="K87" s="27">
        <f t="shared" si="23"/>
        <v>17124</v>
      </c>
      <c r="L87" s="27">
        <f t="shared" si="23"/>
        <v>3729</v>
      </c>
      <c r="M87" s="27">
        <f t="shared" si="23"/>
        <v>677</v>
      </c>
    </row>
    <row r="88" spans="1:13" ht="15">
      <c r="A88" s="20"/>
      <c r="B88" s="25"/>
      <c r="C88" s="25"/>
      <c r="D88" s="25"/>
      <c r="E88" s="25"/>
      <c r="F88" s="25"/>
      <c r="G88" s="25"/>
      <c r="H88" s="25"/>
      <c r="I88" s="25"/>
      <c r="J88" s="25"/>
      <c r="K88" s="27"/>
      <c r="L88" s="27"/>
      <c r="M88" s="27"/>
    </row>
    <row r="89" spans="1:13" s="56" customFormat="1" ht="18" hidden="1">
      <c r="A89" s="52" t="s">
        <v>27</v>
      </c>
      <c r="B89" s="53">
        <f>734090/2</f>
        <v>367045</v>
      </c>
      <c r="C89" s="53">
        <f>C67</f>
        <v>313585.5</v>
      </c>
      <c r="D89" s="53">
        <f>SUM(D56:D67)</f>
        <v>0</v>
      </c>
      <c r="E89" s="53">
        <f>SUM(E56:E67)</f>
        <v>157310.75</v>
      </c>
      <c r="F89" s="53">
        <f>SUM(F56:F67)</f>
        <v>0</v>
      </c>
      <c r="G89" s="53">
        <f>SUM(G56:G67)</f>
        <v>157310.75</v>
      </c>
      <c r="H89" s="53">
        <f aca="true" t="shared" si="24" ref="H89:J90">H67</f>
        <v>157310.75</v>
      </c>
      <c r="I89" s="53">
        <f t="shared" si="24"/>
        <v>156274.75</v>
      </c>
      <c r="J89" s="53">
        <f t="shared" si="24"/>
        <v>13109.229166666666</v>
      </c>
      <c r="K89" s="54">
        <f>SUM(K56:K67)</f>
        <v>9401</v>
      </c>
      <c r="L89" s="54">
        <f>SUM(L56:L67)</f>
        <v>2774</v>
      </c>
      <c r="M89" s="55"/>
    </row>
    <row r="90" spans="1:13" s="56" customFormat="1" ht="18" hidden="1">
      <c r="A90" s="52" t="s">
        <v>28</v>
      </c>
      <c r="B90" s="53">
        <f>734090/2</f>
        <v>367045</v>
      </c>
      <c r="C90" s="53">
        <v>367044.99999999994</v>
      </c>
      <c r="D90" s="53">
        <f>SUM(D68:D79)</f>
        <v>0</v>
      </c>
      <c r="E90" s="53">
        <f>SUM(E68:E79)</f>
        <v>223582</v>
      </c>
      <c r="F90" s="53">
        <f>SUM(F68:F79)</f>
        <v>0</v>
      </c>
      <c r="G90" s="53">
        <f>SUM(G68:G79)</f>
        <v>223582</v>
      </c>
      <c r="H90" s="53">
        <f t="shared" si="24"/>
        <v>189092.75</v>
      </c>
      <c r="I90" s="53">
        <f t="shared" si="24"/>
        <v>150624.875</v>
      </c>
      <c r="J90" s="53">
        <f t="shared" si="24"/>
        <v>14545.596153846154</v>
      </c>
      <c r="K90" s="57">
        <f>SUM(K68:K79)</f>
        <v>4486</v>
      </c>
      <c r="L90" s="57">
        <f>SUM(L68:L79)</f>
        <v>2766</v>
      </c>
      <c r="M90" s="55"/>
    </row>
    <row r="91" spans="1:13" ht="18">
      <c r="A91" s="20" t="s">
        <v>29</v>
      </c>
      <c r="B91" s="8">
        <v>627171</v>
      </c>
      <c r="C91" s="8">
        <f>C79</f>
        <v>627171</v>
      </c>
      <c r="D91" s="8">
        <f aca="true" t="shared" si="25" ref="D91:L91">D89+D90</f>
        <v>0</v>
      </c>
      <c r="E91" s="8">
        <f t="shared" si="25"/>
        <v>380892.75</v>
      </c>
      <c r="F91" s="8">
        <f t="shared" si="25"/>
        <v>0</v>
      </c>
      <c r="G91" s="8">
        <f t="shared" si="25"/>
        <v>380892.75</v>
      </c>
      <c r="H91" s="8">
        <f>H74</f>
        <v>380892.75</v>
      </c>
      <c r="I91" s="8">
        <f>I74</f>
        <v>115617.625</v>
      </c>
      <c r="J91" s="8">
        <f>J74</f>
        <v>20046.986842105263</v>
      </c>
      <c r="K91" s="9">
        <f t="shared" si="25"/>
        <v>13887</v>
      </c>
      <c r="L91" s="9">
        <f t="shared" si="25"/>
        <v>5540</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02"/>
  <sheetViews>
    <sheetView zoomScale="75" zoomScaleNormal="75" zoomScalePageLayoutView="0" workbookViewId="0" topLeftCell="A1">
      <pane xSplit="1" ySplit="7" topLeftCell="B73"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8.140625" style="0" customWidth="1"/>
    <col min="2" max="2" width="19.57421875" style="4" customWidth="1"/>
    <col min="3" max="3" width="16.8515625" style="4" customWidth="1"/>
    <col min="4" max="12" width="16.57421875" style="4" customWidth="1"/>
    <col min="13" max="13" width="8.28125" style="4" hidden="1" customWidth="1"/>
  </cols>
  <sheetData>
    <row r="1" spans="1:10" ht="18">
      <c r="A1" s="1" t="s">
        <v>0</v>
      </c>
      <c r="B1" s="2"/>
      <c r="C1" s="3"/>
      <c r="D1" s="3"/>
      <c r="E1" s="3"/>
      <c r="F1" s="3"/>
      <c r="G1" s="2"/>
      <c r="H1" s="2"/>
      <c r="I1" s="2"/>
      <c r="J1" s="2"/>
    </row>
    <row r="2" spans="1:2" ht="18">
      <c r="A2" s="5" t="s">
        <v>1</v>
      </c>
      <c r="B2" s="6">
        <v>7</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$B$82/12</f>
        <v>41463.25</v>
      </c>
      <c r="C8" s="25">
        <f>B8</f>
        <v>41463.25</v>
      </c>
      <c r="D8" s="25">
        <v>1450</v>
      </c>
      <c r="E8" s="25">
        <v>50580</v>
      </c>
      <c r="F8" s="25"/>
      <c r="G8" s="25">
        <f aca="true" t="shared" si="1" ref="G8:G31">D8+E8</f>
        <v>52030</v>
      </c>
      <c r="H8" s="25">
        <f>G8</f>
        <v>52030</v>
      </c>
      <c r="I8" s="25">
        <f aca="true" t="shared" si="2" ref="I8:I39">C8-H8</f>
        <v>-10566.75</v>
      </c>
      <c r="J8" s="25">
        <f>H8</f>
        <v>52030</v>
      </c>
      <c r="K8" s="30">
        <v>328</v>
      </c>
      <c r="L8" s="30">
        <v>227</v>
      </c>
    </row>
    <row r="9" spans="1:12" ht="15" hidden="1">
      <c r="A9" s="7">
        <v>39295</v>
      </c>
      <c r="B9" s="25">
        <f t="shared" si="0"/>
        <v>41463.25</v>
      </c>
      <c r="C9" s="25">
        <f aca="true" t="shared" si="3" ref="C9:C19">C8+B9</f>
        <v>82926.5</v>
      </c>
      <c r="D9" s="25">
        <v>744</v>
      </c>
      <c r="E9" s="25">
        <v>37804</v>
      </c>
      <c r="F9" s="25"/>
      <c r="G9" s="25">
        <f t="shared" si="1"/>
        <v>38548</v>
      </c>
      <c r="H9" s="25">
        <f aca="true" t="shared" si="4" ref="H9:H19">H8+G9</f>
        <v>90578</v>
      </c>
      <c r="I9" s="25">
        <f t="shared" si="2"/>
        <v>-7651.5</v>
      </c>
      <c r="J9" s="25">
        <f>AVERAGE(G8:G9)</f>
        <v>45289</v>
      </c>
      <c r="K9" s="30">
        <v>309</v>
      </c>
      <c r="L9" s="30">
        <v>206</v>
      </c>
    </row>
    <row r="10" spans="1:12" ht="15" hidden="1">
      <c r="A10" s="7">
        <v>39326</v>
      </c>
      <c r="B10" s="25">
        <f t="shared" si="0"/>
        <v>41463.25</v>
      </c>
      <c r="C10" s="25">
        <f t="shared" si="3"/>
        <v>124389.75</v>
      </c>
      <c r="D10" s="25">
        <v>822</v>
      </c>
      <c r="E10" s="25">
        <v>27953</v>
      </c>
      <c r="F10" s="25"/>
      <c r="G10" s="25">
        <f t="shared" si="1"/>
        <v>28775</v>
      </c>
      <c r="H10" s="25">
        <f t="shared" si="4"/>
        <v>119353</v>
      </c>
      <c r="I10" s="25">
        <f t="shared" si="2"/>
        <v>5036.75</v>
      </c>
      <c r="J10" s="25">
        <f>AVERAGE(G8:G10)</f>
        <v>39784.333333333336</v>
      </c>
      <c r="K10" s="30">
        <v>334</v>
      </c>
      <c r="L10" s="30">
        <v>203</v>
      </c>
    </row>
    <row r="11" spans="1:13" ht="15" hidden="1">
      <c r="A11" s="7">
        <v>39356</v>
      </c>
      <c r="B11" s="25">
        <f t="shared" si="0"/>
        <v>41463.25</v>
      </c>
      <c r="C11" s="25">
        <f t="shared" si="3"/>
        <v>165853</v>
      </c>
      <c r="D11" s="25">
        <v>750</v>
      </c>
      <c r="E11" s="25">
        <v>45662</v>
      </c>
      <c r="F11" s="25"/>
      <c r="G11" s="25">
        <f t="shared" si="1"/>
        <v>46412</v>
      </c>
      <c r="H11" s="25">
        <f t="shared" si="4"/>
        <v>165765</v>
      </c>
      <c r="I11" s="25">
        <f t="shared" si="2"/>
        <v>88</v>
      </c>
      <c r="J11" s="25">
        <f>AVERAGE(G8:G11)</f>
        <v>41441.25</v>
      </c>
      <c r="K11" s="30">
        <v>370</v>
      </c>
      <c r="L11" s="30">
        <v>230</v>
      </c>
      <c r="M11" s="29">
        <v>10</v>
      </c>
    </row>
    <row r="12" spans="1:13" ht="15" hidden="1">
      <c r="A12" s="7">
        <v>39387</v>
      </c>
      <c r="B12" s="25">
        <f t="shared" si="0"/>
        <v>41463.25</v>
      </c>
      <c r="C12" s="25">
        <f t="shared" si="3"/>
        <v>207316.25</v>
      </c>
      <c r="D12" s="25">
        <v>3887</v>
      </c>
      <c r="E12" s="25">
        <v>35051</v>
      </c>
      <c r="F12" s="25"/>
      <c r="G12" s="25">
        <f t="shared" si="1"/>
        <v>38938</v>
      </c>
      <c r="H12" s="25">
        <f t="shared" si="4"/>
        <v>204703</v>
      </c>
      <c r="I12" s="25">
        <f t="shared" si="2"/>
        <v>2613.25</v>
      </c>
      <c r="J12" s="25">
        <f>AVERAGE(G8:G12)</f>
        <v>40940.6</v>
      </c>
      <c r="K12" s="30">
        <v>365</v>
      </c>
      <c r="L12" s="30">
        <v>212</v>
      </c>
      <c r="M12" s="29">
        <v>31</v>
      </c>
    </row>
    <row r="13" spans="1:13" ht="15" hidden="1">
      <c r="A13" s="7">
        <v>39417</v>
      </c>
      <c r="B13" s="25">
        <f t="shared" si="0"/>
        <v>41463.25</v>
      </c>
      <c r="C13" s="25">
        <f t="shared" si="3"/>
        <v>248779.5</v>
      </c>
      <c r="D13" s="25">
        <v>1100</v>
      </c>
      <c r="E13" s="25">
        <v>34968</v>
      </c>
      <c r="F13" s="25"/>
      <c r="G13" s="25">
        <f t="shared" si="1"/>
        <v>36068</v>
      </c>
      <c r="H13" s="25">
        <f t="shared" si="4"/>
        <v>240771</v>
      </c>
      <c r="I13" s="25">
        <f t="shared" si="2"/>
        <v>8008.5</v>
      </c>
      <c r="J13" s="25">
        <f>AVERAGE(G12:G13)</f>
        <v>37503</v>
      </c>
      <c r="K13" s="30">
        <v>374</v>
      </c>
      <c r="L13" s="30">
        <v>217</v>
      </c>
      <c r="M13" s="29">
        <v>44</v>
      </c>
    </row>
    <row r="14" spans="1:13" ht="15" hidden="1">
      <c r="A14" s="7">
        <v>39448</v>
      </c>
      <c r="B14" s="25">
        <f t="shared" si="0"/>
        <v>41463.25</v>
      </c>
      <c r="C14" s="25">
        <f t="shared" si="3"/>
        <v>290242.75</v>
      </c>
      <c r="D14" s="25">
        <v>4774</v>
      </c>
      <c r="E14" s="25">
        <v>37839</v>
      </c>
      <c r="F14" s="25"/>
      <c r="G14" s="25">
        <f t="shared" si="1"/>
        <v>42613</v>
      </c>
      <c r="H14" s="25">
        <f t="shared" si="4"/>
        <v>283384</v>
      </c>
      <c r="I14" s="25">
        <f t="shared" si="2"/>
        <v>6858.75</v>
      </c>
      <c r="J14" s="25">
        <f>AVERAGE(G12:G14)</f>
        <v>39206.333333333336</v>
      </c>
      <c r="K14" s="30">
        <v>392</v>
      </c>
      <c r="L14" s="30">
        <v>256</v>
      </c>
      <c r="M14" s="29">
        <v>49</v>
      </c>
    </row>
    <row r="15" spans="1:13" ht="15" hidden="1">
      <c r="A15" s="7">
        <v>39479</v>
      </c>
      <c r="B15" s="25">
        <f t="shared" si="0"/>
        <v>41463.25</v>
      </c>
      <c r="C15" s="25">
        <f t="shared" si="3"/>
        <v>331706</v>
      </c>
      <c r="D15" s="25">
        <v>3873</v>
      </c>
      <c r="E15" s="25">
        <v>34329</v>
      </c>
      <c r="F15" s="25"/>
      <c r="G15" s="25">
        <f t="shared" si="1"/>
        <v>38202</v>
      </c>
      <c r="H15" s="25">
        <f t="shared" si="4"/>
        <v>321586</v>
      </c>
      <c r="I15" s="25">
        <f t="shared" si="2"/>
        <v>10120</v>
      </c>
      <c r="J15" s="25">
        <f>AVERAGE(G12:G15)</f>
        <v>38955.25</v>
      </c>
      <c r="K15" s="30">
        <v>396</v>
      </c>
      <c r="L15" s="30">
        <v>278</v>
      </c>
      <c r="M15" s="29">
        <v>52</v>
      </c>
    </row>
    <row r="16" spans="1:13" ht="15" hidden="1">
      <c r="A16" s="7">
        <v>39508</v>
      </c>
      <c r="B16" s="25">
        <f t="shared" si="0"/>
        <v>41463.25</v>
      </c>
      <c r="C16" s="25">
        <f t="shared" si="3"/>
        <v>373169.25</v>
      </c>
      <c r="D16" s="25">
        <v>3292</v>
      </c>
      <c r="E16" s="25">
        <v>35767</v>
      </c>
      <c r="F16" s="25"/>
      <c r="G16" s="25">
        <f t="shared" si="1"/>
        <v>39059</v>
      </c>
      <c r="H16" s="25">
        <f t="shared" si="4"/>
        <v>360645</v>
      </c>
      <c r="I16" s="25">
        <f t="shared" si="2"/>
        <v>12524.25</v>
      </c>
      <c r="J16" s="25">
        <f>AVERAGE(G12:G16)</f>
        <v>38976</v>
      </c>
      <c r="K16" s="30">
        <v>426</v>
      </c>
      <c r="L16" s="30">
        <v>268</v>
      </c>
      <c r="M16" s="29">
        <v>61</v>
      </c>
    </row>
    <row r="17" spans="1:13" ht="15" hidden="1">
      <c r="A17" s="7">
        <v>39539</v>
      </c>
      <c r="B17" s="25">
        <f t="shared" si="0"/>
        <v>41463.25</v>
      </c>
      <c r="C17" s="25">
        <f t="shared" si="3"/>
        <v>414632.5</v>
      </c>
      <c r="D17" s="25">
        <v>2967</v>
      </c>
      <c r="E17" s="25">
        <v>49183</v>
      </c>
      <c r="F17" s="25"/>
      <c r="G17" s="25">
        <f t="shared" si="1"/>
        <v>52150</v>
      </c>
      <c r="H17" s="25">
        <f t="shared" si="4"/>
        <v>412795</v>
      </c>
      <c r="I17" s="25">
        <f t="shared" si="2"/>
        <v>1837.5</v>
      </c>
      <c r="J17" s="25">
        <f>AVERAGE(G14:G17)</f>
        <v>43006</v>
      </c>
      <c r="K17" s="30">
        <v>429</v>
      </c>
      <c r="L17" s="30">
        <v>296</v>
      </c>
      <c r="M17" s="29">
        <v>65</v>
      </c>
    </row>
    <row r="18" spans="1:13" ht="15" hidden="1">
      <c r="A18" s="7">
        <v>39569</v>
      </c>
      <c r="B18" s="33">
        <f t="shared" si="0"/>
        <v>41463.25</v>
      </c>
      <c r="C18" s="33">
        <f t="shared" si="3"/>
        <v>456095.75</v>
      </c>
      <c r="D18" s="33">
        <v>2818</v>
      </c>
      <c r="E18" s="33">
        <v>50382</v>
      </c>
      <c r="F18" s="33"/>
      <c r="G18" s="25">
        <f t="shared" si="1"/>
        <v>53200</v>
      </c>
      <c r="H18" s="25">
        <f t="shared" si="4"/>
        <v>465995</v>
      </c>
      <c r="I18" s="25">
        <f t="shared" si="2"/>
        <v>-9899.25</v>
      </c>
      <c r="J18" s="25">
        <f>AVERAGE(G14:G18)</f>
        <v>45044.8</v>
      </c>
      <c r="K18" s="30">
        <v>430</v>
      </c>
      <c r="L18" s="30">
        <v>322</v>
      </c>
      <c r="M18" s="29">
        <v>71</v>
      </c>
    </row>
    <row r="19" spans="1:13" ht="15.75" hidden="1" thickBot="1">
      <c r="A19" s="7">
        <v>39600</v>
      </c>
      <c r="B19" s="34">
        <f t="shared" si="0"/>
        <v>41463.25</v>
      </c>
      <c r="C19" s="34">
        <f t="shared" si="3"/>
        <v>497559</v>
      </c>
      <c r="D19" s="34">
        <v>2080</v>
      </c>
      <c r="E19" s="34">
        <v>50610</v>
      </c>
      <c r="F19" s="34"/>
      <c r="G19" s="34">
        <f t="shared" si="1"/>
        <v>52690</v>
      </c>
      <c r="H19" s="34">
        <f t="shared" si="4"/>
        <v>518685</v>
      </c>
      <c r="I19" s="34">
        <f t="shared" si="2"/>
        <v>-21126</v>
      </c>
      <c r="J19" s="34">
        <f>AVERAGE(G15:G19)</f>
        <v>47060.2</v>
      </c>
      <c r="K19" s="35">
        <v>442</v>
      </c>
      <c r="L19" s="35">
        <v>322</v>
      </c>
      <c r="M19" s="36">
        <v>86</v>
      </c>
    </row>
    <row r="20" spans="1:13" ht="15" hidden="1">
      <c r="A20" s="7">
        <v>39630</v>
      </c>
      <c r="B20" s="37">
        <v>74028.6</v>
      </c>
      <c r="C20" s="33">
        <f>B20</f>
        <v>74028.6</v>
      </c>
      <c r="D20" s="33">
        <v>1671</v>
      </c>
      <c r="E20" s="33">
        <v>53286</v>
      </c>
      <c r="F20" s="33"/>
      <c r="G20" s="33">
        <f t="shared" si="1"/>
        <v>54957</v>
      </c>
      <c r="H20" s="33">
        <f>G20</f>
        <v>54957</v>
      </c>
      <c r="I20" s="33">
        <f t="shared" si="2"/>
        <v>19071.600000000006</v>
      </c>
      <c r="J20" s="33">
        <f>H20</f>
        <v>54957</v>
      </c>
      <c r="K20" s="30">
        <v>458</v>
      </c>
      <c r="L20" s="30">
        <v>319</v>
      </c>
      <c r="M20" s="29">
        <v>98</v>
      </c>
    </row>
    <row r="21" spans="1:13" ht="15" hidden="1">
      <c r="A21" s="7">
        <v>39661</v>
      </c>
      <c r="B21" s="37">
        <v>74028.6</v>
      </c>
      <c r="C21" s="33">
        <f aca="true" t="shared" si="5" ref="C21:C31">C20+B21</f>
        <v>148057.2</v>
      </c>
      <c r="D21" s="33">
        <v>2214</v>
      </c>
      <c r="E21" s="33">
        <v>52557</v>
      </c>
      <c r="F21" s="33"/>
      <c r="G21" s="33">
        <f t="shared" si="1"/>
        <v>54771</v>
      </c>
      <c r="H21" s="33">
        <f aca="true" t="shared" si="6" ref="H21:H31">H20+G21</f>
        <v>109728</v>
      </c>
      <c r="I21" s="33">
        <f t="shared" si="2"/>
        <v>38329.20000000001</v>
      </c>
      <c r="J21" s="33">
        <f>H21/2</f>
        <v>54864</v>
      </c>
      <c r="K21" s="30">
        <v>459</v>
      </c>
      <c r="L21" s="30">
        <v>315</v>
      </c>
      <c r="M21" s="29">
        <v>107</v>
      </c>
    </row>
    <row r="22" spans="1:13" ht="15" hidden="1">
      <c r="A22" s="7">
        <v>39692</v>
      </c>
      <c r="B22" s="37">
        <v>74028.6</v>
      </c>
      <c r="C22" s="33">
        <f t="shared" si="5"/>
        <v>222085.80000000002</v>
      </c>
      <c r="D22" s="33">
        <v>575</v>
      </c>
      <c r="E22" s="33">
        <v>53704</v>
      </c>
      <c r="F22" s="33"/>
      <c r="G22" s="33">
        <f t="shared" si="1"/>
        <v>54279</v>
      </c>
      <c r="H22" s="33">
        <f t="shared" si="6"/>
        <v>164007</v>
      </c>
      <c r="I22" s="33">
        <f t="shared" si="2"/>
        <v>58078.80000000002</v>
      </c>
      <c r="J22" s="33">
        <f>H22/3</f>
        <v>54669</v>
      </c>
      <c r="K22" s="30">
        <v>486</v>
      </c>
      <c r="L22" s="30">
        <v>319</v>
      </c>
      <c r="M22" s="29">
        <v>106</v>
      </c>
    </row>
    <row r="23" spans="1:13" ht="15" hidden="1">
      <c r="A23" s="7">
        <v>39722</v>
      </c>
      <c r="B23" s="37">
        <v>74028.6</v>
      </c>
      <c r="C23" s="33">
        <f t="shared" si="5"/>
        <v>296114.4</v>
      </c>
      <c r="D23" s="33">
        <v>5391</v>
      </c>
      <c r="E23" s="33">
        <v>54463</v>
      </c>
      <c r="F23" s="33"/>
      <c r="G23" s="33">
        <f t="shared" si="1"/>
        <v>59854</v>
      </c>
      <c r="H23" s="33">
        <f t="shared" si="6"/>
        <v>223861</v>
      </c>
      <c r="I23" s="33">
        <f t="shared" si="2"/>
        <v>72253.40000000002</v>
      </c>
      <c r="J23" s="33">
        <f>H23/4</f>
        <v>55965.25</v>
      </c>
      <c r="K23" s="30">
        <v>489</v>
      </c>
      <c r="L23" s="30">
        <v>340</v>
      </c>
      <c r="M23" s="29">
        <v>94</v>
      </c>
    </row>
    <row r="24" spans="1:13" ht="15" hidden="1">
      <c r="A24" s="7">
        <v>39753</v>
      </c>
      <c r="B24" s="37">
        <v>74028.6</v>
      </c>
      <c r="C24" s="33">
        <f t="shared" si="5"/>
        <v>370143</v>
      </c>
      <c r="D24" s="33">
        <v>1799</v>
      </c>
      <c r="E24" s="33">
        <v>44218</v>
      </c>
      <c r="F24" s="33"/>
      <c r="G24" s="33">
        <f t="shared" si="1"/>
        <v>46017</v>
      </c>
      <c r="H24" s="33">
        <f t="shared" si="6"/>
        <v>269878</v>
      </c>
      <c r="I24" s="33">
        <f t="shared" si="2"/>
        <v>100265</v>
      </c>
      <c r="J24" s="33">
        <f>H24/5</f>
        <v>53975.6</v>
      </c>
      <c r="K24" s="30">
        <v>490</v>
      </c>
      <c r="L24" s="30">
        <v>354</v>
      </c>
      <c r="M24" s="29">
        <v>92</v>
      </c>
    </row>
    <row r="25" spans="1:13" ht="15" hidden="1">
      <c r="A25" s="7">
        <v>39783</v>
      </c>
      <c r="B25" s="38">
        <v>34675</v>
      </c>
      <c r="C25" s="33">
        <f t="shared" si="5"/>
        <v>404818</v>
      </c>
      <c r="D25" s="33">
        <v>2247</v>
      </c>
      <c r="E25" s="33">
        <v>37064</v>
      </c>
      <c r="F25" s="33"/>
      <c r="G25" s="33">
        <f t="shared" si="1"/>
        <v>39311</v>
      </c>
      <c r="H25" s="33">
        <f t="shared" si="6"/>
        <v>309189</v>
      </c>
      <c r="I25" s="33">
        <f t="shared" si="2"/>
        <v>95629</v>
      </c>
      <c r="J25" s="33">
        <f>H25/6</f>
        <v>51531.5</v>
      </c>
      <c r="K25" s="30">
        <v>520</v>
      </c>
      <c r="L25" s="30">
        <v>303</v>
      </c>
      <c r="M25" s="29">
        <v>86</v>
      </c>
    </row>
    <row r="26" spans="1:13" ht="15" hidden="1">
      <c r="A26" s="7">
        <v>39814</v>
      </c>
      <c r="B26" s="38">
        <v>34675</v>
      </c>
      <c r="C26" s="33">
        <f t="shared" si="5"/>
        <v>439493</v>
      </c>
      <c r="D26" s="33">
        <v>1956</v>
      </c>
      <c r="E26" s="33">
        <v>46065</v>
      </c>
      <c r="F26" s="33"/>
      <c r="G26" s="33">
        <f t="shared" si="1"/>
        <v>48021</v>
      </c>
      <c r="H26" s="33">
        <f t="shared" si="6"/>
        <v>357210</v>
      </c>
      <c r="I26" s="33">
        <f t="shared" si="2"/>
        <v>82283</v>
      </c>
      <c r="J26" s="33">
        <f>H26/7</f>
        <v>51030</v>
      </c>
      <c r="K26" s="30">
        <v>531</v>
      </c>
      <c r="L26" s="30">
        <v>316</v>
      </c>
      <c r="M26" s="29">
        <v>80</v>
      </c>
    </row>
    <row r="27" spans="1:13" ht="15" hidden="1">
      <c r="A27" s="7">
        <v>39845</v>
      </c>
      <c r="B27" s="38">
        <v>34675</v>
      </c>
      <c r="C27" s="33">
        <f t="shared" si="5"/>
        <v>474168</v>
      </c>
      <c r="D27" s="33">
        <v>2722</v>
      </c>
      <c r="E27" s="33">
        <v>34357</v>
      </c>
      <c r="F27" s="33"/>
      <c r="G27" s="33">
        <f t="shared" si="1"/>
        <v>37079</v>
      </c>
      <c r="H27" s="33">
        <f t="shared" si="6"/>
        <v>394289</v>
      </c>
      <c r="I27" s="33">
        <f t="shared" si="2"/>
        <v>79879</v>
      </c>
      <c r="J27" s="33">
        <f>H27/8</f>
        <v>49286.125</v>
      </c>
      <c r="K27" s="30">
        <v>533</v>
      </c>
      <c r="L27" s="30">
        <v>268</v>
      </c>
      <c r="M27" s="29">
        <v>75</v>
      </c>
    </row>
    <row r="28" spans="1:13" ht="15" hidden="1">
      <c r="A28" s="7">
        <v>39873</v>
      </c>
      <c r="B28" s="38">
        <v>34675</v>
      </c>
      <c r="C28" s="33">
        <f t="shared" si="5"/>
        <v>508843</v>
      </c>
      <c r="D28" s="33">
        <v>3012</v>
      </c>
      <c r="E28" s="33">
        <v>35260</v>
      </c>
      <c r="F28" s="33"/>
      <c r="G28" s="33">
        <f t="shared" si="1"/>
        <v>38272</v>
      </c>
      <c r="H28" s="33">
        <f t="shared" si="6"/>
        <v>432561</v>
      </c>
      <c r="I28" s="33">
        <f t="shared" si="2"/>
        <v>76282</v>
      </c>
      <c r="J28" s="33">
        <f>H28/9</f>
        <v>48062.333333333336</v>
      </c>
      <c r="K28" s="30">
        <v>551</v>
      </c>
      <c r="L28" s="30">
        <v>295</v>
      </c>
      <c r="M28" s="4">
        <v>72</v>
      </c>
    </row>
    <row r="29" spans="1:13" ht="15" hidden="1">
      <c r="A29" s="7">
        <v>39904</v>
      </c>
      <c r="B29" s="38">
        <v>34675</v>
      </c>
      <c r="C29" s="33">
        <f t="shared" si="5"/>
        <v>543518</v>
      </c>
      <c r="D29" s="33">
        <v>0</v>
      </c>
      <c r="E29" s="33">
        <v>35203</v>
      </c>
      <c r="F29" s="33"/>
      <c r="G29" s="33">
        <f t="shared" si="1"/>
        <v>35203</v>
      </c>
      <c r="H29" s="33">
        <f t="shared" si="6"/>
        <v>467764</v>
      </c>
      <c r="I29" s="33">
        <f t="shared" si="2"/>
        <v>75754</v>
      </c>
      <c r="J29" s="33">
        <f>H29/10</f>
        <v>46776.4</v>
      </c>
      <c r="K29" s="30">
        <v>575</v>
      </c>
      <c r="L29" s="30">
        <v>311</v>
      </c>
      <c r="M29" s="4">
        <v>65</v>
      </c>
    </row>
    <row r="30" spans="1:13" ht="15" hidden="1">
      <c r="A30" s="7">
        <v>39934</v>
      </c>
      <c r="B30" s="38">
        <v>34675</v>
      </c>
      <c r="C30" s="33">
        <f t="shared" si="5"/>
        <v>578193</v>
      </c>
      <c r="D30" s="33">
        <v>0</v>
      </c>
      <c r="E30" s="33">
        <v>30368</v>
      </c>
      <c r="F30" s="33"/>
      <c r="G30" s="33">
        <f t="shared" si="1"/>
        <v>30368</v>
      </c>
      <c r="H30" s="33">
        <f t="shared" si="6"/>
        <v>498132</v>
      </c>
      <c r="I30" s="33">
        <f t="shared" si="2"/>
        <v>80061</v>
      </c>
      <c r="J30" s="33">
        <f>H30/11</f>
        <v>45284.72727272727</v>
      </c>
      <c r="K30" s="30">
        <v>615</v>
      </c>
      <c r="L30" s="30">
        <v>283</v>
      </c>
      <c r="M30" s="4">
        <v>68</v>
      </c>
    </row>
    <row r="31" spans="1:13" ht="15.75" hidden="1" thickBot="1">
      <c r="A31" s="7">
        <v>39965</v>
      </c>
      <c r="B31" s="39">
        <v>34675</v>
      </c>
      <c r="C31" s="34">
        <f t="shared" si="5"/>
        <v>612868</v>
      </c>
      <c r="D31" s="34">
        <v>250</v>
      </c>
      <c r="E31" s="34">
        <v>35755</v>
      </c>
      <c r="F31" s="34"/>
      <c r="G31" s="34">
        <f t="shared" si="1"/>
        <v>36005</v>
      </c>
      <c r="H31" s="34">
        <f t="shared" si="6"/>
        <v>534137</v>
      </c>
      <c r="I31" s="34">
        <f t="shared" si="2"/>
        <v>78731</v>
      </c>
      <c r="J31" s="34">
        <f>H31/12</f>
        <v>44511.416666666664</v>
      </c>
      <c r="K31" s="40">
        <v>584</v>
      </c>
      <c r="L31" s="40">
        <v>295</v>
      </c>
      <c r="M31" s="41">
        <v>64</v>
      </c>
    </row>
    <row r="32" spans="1:13" ht="18" hidden="1">
      <c r="A32" s="7">
        <v>40725</v>
      </c>
      <c r="B32" s="37">
        <f aca="true" t="shared" si="7" ref="B32:B43">$B$86/12</f>
        <v>15108.666666666666</v>
      </c>
      <c r="C32" s="33">
        <f>B32</f>
        <v>15108.666666666666</v>
      </c>
      <c r="D32" s="33">
        <v>0</v>
      </c>
      <c r="E32" s="33">
        <v>3260</v>
      </c>
      <c r="F32" s="33">
        <v>0</v>
      </c>
      <c r="G32" s="33">
        <f aca="true" t="shared" si="8" ref="G32:G67">D32+E32+F32</f>
        <v>3260</v>
      </c>
      <c r="H32" s="33">
        <f>G32</f>
        <v>3260</v>
      </c>
      <c r="I32" s="33">
        <f t="shared" si="2"/>
        <v>11848.666666666666</v>
      </c>
      <c r="J32" s="11">
        <f>H32</f>
        <v>3260</v>
      </c>
      <c r="K32" s="42">
        <v>788</v>
      </c>
      <c r="L32" s="42">
        <v>134</v>
      </c>
      <c r="M32" s="43">
        <v>60</v>
      </c>
    </row>
    <row r="33" spans="1:13" ht="18" hidden="1">
      <c r="A33" s="7">
        <v>40756</v>
      </c>
      <c r="B33" s="37">
        <f t="shared" si="7"/>
        <v>15108.666666666666</v>
      </c>
      <c r="C33" s="33">
        <f aca="true" t="shared" si="9" ref="C33:C43">C32+B33</f>
        <v>30217.333333333332</v>
      </c>
      <c r="D33" s="33">
        <v>0</v>
      </c>
      <c r="E33" s="33">
        <v>1744</v>
      </c>
      <c r="F33" s="33">
        <v>0</v>
      </c>
      <c r="G33" s="33">
        <f t="shared" si="8"/>
        <v>1744</v>
      </c>
      <c r="H33" s="33">
        <f aca="true" t="shared" si="10" ref="H33:H43">H32+G33</f>
        <v>5004</v>
      </c>
      <c r="I33" s="33">
        <f t="shared" si="2"/>
        <v>25213.333333333332</v>
      </c>
      <c r="J33" s="11">
        <f>H33/2</f>
        <v>2502</v>
      </c>
      <c r="K33" s="42">
        <v>629</v>
      </c>
      <c r="L33" s="42">
        <v>135</v>
      </c>
      <c r="M33" s="43">
        <v>52</v>
      </c>
    </row>
    <row r="34" spans="1:13" ht="18" hidden="1">
      <c r="A34" s="7">
        <v>40787</v>
      </c>
      <c r="B34" s="37">
        <f t="shared" si="7"/>
        <v>15108.666666666666</v>
      </c>
      <c r="C34" s="33">
        <f t="shared" si="9"/>
        <v>45326</v>
      </c>
      <c r="D34" s="33">
        <v>0</v>
      </c>
      <c r="E34" s="33">
        <f>3-F34</f>
        <v>-97</v>
      </c>
      <c r="F34" s="33">
        <v>100</v>
      </c>
      <c r="G34" s="33">
        <f t="shared" si="8"/>
        <v>3</v>
      </c>
      <c r="H34" s="33">
        <f t="shared" si="10"/>
        <v>5007</v>
      </c>
      <c r="I34" s="33">
        <f t="shared" si="2"/>
        <v>40319</v>
      </c>
      <c r="J34" s="11">
        <f>H34/3</f>
        <v>1669</v>
      </c>
      <c r="K34" s="42">
        <v>645</v>
      </c>
      <c r="L34" s="42">
        <v>124</v>
      </c>
      <c r="M34" s="43">
        <v>50</v>
      </c>
    </row>
    <row r="35" spans="1:13" ht="18" hidden="1">
      <c r="A35" s="7">
        <v>40817</v>
      </c>
      <c r="B35" s="37">
        <f t="shared" si="7"/>
        <v>15108.666666666666</v>
      </c>
      <c r="C35" s="33">
        <f t="shared" si="9"/>
        <v>60434.666666666664</v>
      </c>
      <c r="D35" s="33">
        <v>0</v>
      </c>
      <c r="E35" s="33">
        <f>3609-F35</f>
        <v>3559</v>
      </c>
      <c r="F35" s="33">
        <v>50</v>
      </c>
      <c r="G35" s="33">
        <f t="shared" si="8"/>
        <v>3609</v>
      </c>
      <c r="H35" s="33">
        <f t="shared" si="10"/>
        <v>8616</v>
      </c>
      <c r="I35" s="33">
        <f t="shared" si="2"/>
        <v>51818.666666666664</v>
      </c>
      <c r="J35" s="11">
        <f>H35/4</f>
        <v>2154</v>
      </c>
      <c r="K35" s="42">
        <v>653</v>
      </c>
      <c r="L35" s="42">
        <v>125</v>
      </c>
      <c r="M35" s="43">
        <v>44</v>
      </c>
    </row>
    <row r="36" spans="1:13" ht="18" hidden="1">
      <c r="A36" s="7">
        <v>40848</v>
      </c>
      <c r="B36" s="37">
        <f t="shared" si="7"/>
        <v>15108.666666666666</v>
      </c>
      <c r="C36" s="33">
        <f t="shared" si="9"/>
        <v>75543.33333333333</v>
      </c>
      <c r="D36" s="33">
        <v>0</v>
      </c>
      <c r="E36" s="33">
        <v>269</v>
      </c>
      <c r="F36" s="33">
        <v>0</v>
      </c>
      <c r="G36" s="33">
        <f t="shared" si="8"/>
        <v>269</v>
      </c>
      <c r="H36" s="33">
        <f t="shared" si="10"/>
        <v>8885</v>
      </c>
      <c r="I36" s="33">
        <f t="shared" si="2"/>
        <v>66658.33333333333</v>
      </c>
      <c r="J36" s="11">
        <f>H36/5</f>
        <v>1777</v>
      </c>
      <c r="K36" s="42">
        <v>672</v>
      </c>
      <c r="L36" s="42">
        <v>117</v>
      </c>
      <c r="M36" s="43">
        <v>42</v>
      </c>
    </row>
    <row r="37" spans="1:13" ht="18" hidden="1">
      <c r="A37" s="7">
        <v>40878</v>
      </c>
      <c r="B37" s="37">
        <f t="shared" si="7"/>
        <v>15108.666666666666</v>
      </c>
      <c r="C37" s="33">
        <f t="shared" si="9"/>
        <v>90652</v>
      </c>
      <c r="D37" s="33">
        <v>0</v>
      </c>
      <c r="E37" s="33">
        <v>649</v>
      </c>
      <c r="F37" s="33">
        <v>0</v>
      </c>
      <c r="G37" s="33">
        <f t="shared" si="8"/>
        <v>649</v>
      </c>
      <c r="H37" s="33">
        <f t="shared" si="10"/>
        <v>9534</v>
      </c>
      <c r="I37" s="33">
        <f t="shared" si="2"/>
        <v>81118</v>
      </c>
      <c r="J37" s="11">
        <f>H37/6</f>
        <v>1589</v>
      </c>
      <c r="K37" s="42">
        <v>699</v>
      </c>
      <c r="L37" s="42">
        <v>116</v>
      </c>
      <c r="M37" s="43">
        <v>49</v>
      </c>
    </row>
    <row r="38" spans="1:13" ht="18" hidden="1">
      <c r="A38" s="7">
        <v>40909</v>
      </c>
      <c r="B38" s="37">
        <f t="shared" si="7"/>
        <v>15108.666666666666</v>
      </c>
      <c r="C38" s="33">
        <f t="shared" si="9"/>
        <v>105760.66666666667</v>
      </c>
      <c r="D38" s="33">
        <v>0</v>
      </c>
      <c r="E38" s="33">
        <v>635</v>
      </c>
      <c r="F38" s="33">
        <v>0</v>
      </c>
      <c r="G38" s="33">
        <f t="shared" si="8"/>
        <v>635</v>
      </c>
      <c r="H38" s="33">
        <f t="shared" si="10"/>
        <v>10169</v>
      </c>
      <c r="I38" s="33">
        <f t="shared" si="2"/>
        <v>95591.66666666667</v>
      </c>
      <c r="J38" s="11">
        <f>H38/7</f>
        <v>1452.7142857142858</v>
      </c>
      <c r="K38" s="42">
        <v>766</v>
      </c>
      <c r="L38" s="42">
        <v>131</v>
      </c>
      <c r="M38" s="43">
        <v>36</v>
      </c>
    </row>
    <row r="39" spans="1:13" ht="18" hidden="1">
      <c r="A39" s="7">
        <v>40940</v>
      </c>
      <c r="B39" s="37">
        <f t="shared" si="7"/>
        <v>15108.666666666666</v>
      </c>
      <c r="C39" s="33">
        <f t="shared" si="9"/>
        <v>120869.33333333334</v>
      </c>
      <c r="D39" s="33">
        <v>0</v>
      </c>
      <c r="E39" s="33">
        <v>971</v>
      </c>
      <c r="F39" s="33">
        <v>0</v>
      </c>
      <c r="G39" s="33">
        <f t="shared" si="8"/>
        <v>971</v>
      </c>
      <c r="H39" s="33">
        <f t="shared" si="10"/>
        <v>11140</v>
      </c>
      <c r="I39" s="33">
        <f t="shared" si="2"/>
        <v>109729.33333333334</v>
      </c>
      <c r="J39" s="11">
        <f>H39/8</f>
        <v>1392.5</v>
      </c>
      <c r="K39" s="42">
        <v>721</v>
      </c>
      <c r="L39" s="42">
        <v>119</v>
      </c>
      <c r="M39" s="43">
        <v>36</v>
      </c>
    </row>
    <row r="40" spans="1:13" ht="18" hidden="1">
      <c r="A40" s="7">
        <v>40969</v>
      </c>
      <c r="B40" s="37">
        <f t="shared" si="7"/>
        <v>15108.666666666666</v>
      </c>
      <c r="C40" s="33">
        <f t="shared" si="9"/>
        <v>135978</v>
      </c>
      <c r="D40" s="33">
        <v>0</v>
      </c>
      <c r="E40" s="33">
        <f>2648-F40</f>
        <v>2498</v>
      </c>
      <c r="F40" s="33">
        <v>150</v>
      </c>
      <c r="G40" s="33">
        <f t="shared" si="8"/>
        <v>2648</v>
      </c>
      <c r="H40" s="33">
        <f t="shared" si="10"/>
        <v>13788</v>
      </c>
      <c r="I40" s="33">
        <f aca="true" t="shared" si="11" ref="I40:I59">C40-H40</f>
        <v>122190</v>
      </c>
      <c r="J40" s="11">
        <f>H40/9</f>
        <v>1532</v>
      </c>
      <c r="K40" s="42">
        <v>715</v>
      </c>
      <c r="L40" s="42">
        <v>112</v>
      </c>
      <c r="M40" s="43">
        <v>33</v>
      </c>
    </row>
    <row r="41" spans="1:13" ht="18" hidden="1">
      <c r="A41" s="7">
        <v>41000</v>
      </c>
      <c r="B41" s="37">
        <f t="shared" si="7"/>
        <v>15108.666666666666</v>
      </c>
      <c r="C41" s="33">
        <f t="shared" si="9"/>
        <v>151086.66666666666</v>
      </c>
      <c r="D41" s="33">
        <v>0</v>
      </c>
      <c r="E41" s="33">
        <v>2417</v>
      </c>
      <c r="F41" s="33">
        <v>0</v>
      </c>
      <c r="G41" s="33">
        <f t="shared" si="8"/>
        <v>2417</v>
      </c>
      <c r="H41" s="33">
        <f t="shared" si="10"/>
        <v>16205</v>
      </c>
      <c r="I41" s="33">
        <f t="shared" si="11"/>
        <v>134881.66666666666</v>
      </c>
      <c r="J41" s="11">
        <f>H41/10</f>
        <v>1620.5</v>
      </c>
      <c r="K41" s="42">
        <v>786</v>
      </c>
      <c r="L41" s="42">
        <v>124</v>
      </c>
      <c r="M41" s="43">
        <v>20</v>
      </c>
    </row>
    <row r="42" spans="1:13" ht="18" hidden="1">
      <c r="A42" s="7">
        <v>41030</v>
      </c>
      <c r="B42" s="37">
        <f t="shared" si="7"/>
        <v>15108.666666666666</v>
      </c>
      <c r="C42" s="33">
        <f t="shared" si="9"/>
        <v>166195.3333333333</v>
      </c>
      <c r="D42" s="33">
        <v>330</v>
      </c>
      <c r="E42" s="33">
        <v>4707</v>
      </c>
      <c r="F42" s="33">
        <v>0</v>
      </c>
      <c r="G42" s="33">
        <f t="shared" si="8"/>
        <v>5037</v>
      </c>
      <c r="H42" s="33">
        <f t="shared" si="10"/>
        <v>21242</v>
      </c>
      <c r="I42" s="33">
        <f t="shared" si="11"/>
        <v>144953.3333333333</v>
      </c>
      <c r="J42" s="11">
        <f>H42/11</f>
        <v>1931.090909090909</v>
      </c>
      <c r="K42" s="42">
        <v>697</v>
      </c>
      <c r="L42" s="42">
        <v>163</v>
      </c>
      <c r="M42" s="43">
        <v>0</v>
      </c>
    </row>
    <row r="43" spans="1:13" ht="18.75" hidden="1" thickBot="1">
      <c r="A43" s="7">
        <v>41061</v>
      </c>
      <c r="B43" s="39">
        <f t="shared" si="7"/>
        <v>15108.666666666666</v>
      </c>
      <c r="C43" s="34">
        <f t="shared" si="9"/>
        <v>181303.99999999997</v>
      </c>
      <c r="D43" s="34">
        <v>0</v>
      </c>
      <c r="E43" s="34">
        <v>3946</v>
      </c>
      <c r="F43" s="34">
        <v>0</v>
      </c>
      <c r="G43" s="34">
        <f t="shared" si="8"/>
        <v>3946</v>
      </c>
      <c r="H43" s="34">
        <f t="shared" si="10"/>
        <v>25188</v>
      </c>
      <c r="I43" s="34">
        <f t="shared" si="11"/>
        <v>156115.99999999997</v>
      </c>
      <c r="J43" s="12">
        <f>H43/12</f>
        <v>2099</v>
      </c>
      <c r="K43" s="40">
        <v>701</v>
      </c>
      <c r="L43" s="40">
        <v>149</v>
      </c>
      <c r="M43" s="41">
        <v>0</v>
      </c>
    </row>
    <row r="44" spans="1:13" ht="15" hidden="1">
      <c r="A44" s="7">
        <v>41091</v>
      </c>
      <c r="B44" s="37">
        <f aca="true" t="shared" si="12" ref="B44:B55">$B$87/12</f>
        <v>22718.083333333332</v>
      </c>
      <c r="C44" s="33">
        <f>B44</f>
        <v>22718.083333333332</v>
      </c>
      <c r="D44" s="33">
        <v>0</v>
      </c>
      <c r="E44" s="33">
        <v>7799</v>
      </c>
      <c r="F44" s="33">
        <v>0</v>
      </c>
      <c r="G44" s="33">
        <f t="shared" si="8"/>
        <v>7799</v>
      </c>
      <c r="H44" s="33">
        <f>G44</f>
        <v>7799</v>
      </c>
      <c r="I44" s="33">
        <f t="shared" si="11"/>
        <v>14919.083333333332</v>
      </c>
      <c r="J44" s="33">
        <f>H44/1</f>
        <v>7799</v>
      </c>
      <c r="K44" s="42">
        <v>671</v>
      </c>
      <c r="L44" s="42">
        <v>158</v>
      </c>
      <c r="M44" s="43"/>
    </row>
    <row r="45" spans="1:13" ht="15" hidden="1">
      <c r="A45" s="7">
        <v>41122</v>
      </c>
      <c r="B45" s="37">
        <f t="shared" si="12"/>
        <v>22718.083333333332</v>
      </c>
      <c r="C45" s="33">
        <f aca="true" t="shared" si="13" ref="C45:C55">C44+B45</f>
        <v>45436.166666666664</v>
      </c>
      <c r="D45" s="33">
        <v>0</v>
      </c>
      <c r="E45" s="33">
        <v>8122</v>
      </c>
      <c r="F45" s="33">
        <v>0</v>
      </c>
      <c r="G45" s="33">
        <f t="shared" si="8"/>
        <v>8122</v>
      </c>
      <c r="H45" s="33">
        <f aca="true" t="shared" si="14" ref="H45:H55">H44+G45</f>
        <v>15921</v>
      </c>
      <c r="I45" s="33">
        <f t="shared" si="11"/>
        <v>29515.166666666664</v>
      </c>
      <c r="J45" s="33">
        <f>H45/2</f>
        <v>7960.5</v>
      </c>
      <c r="K45" s="42">
        <v>688</v>
      </c>
      <c r="L45" s="42">
        <v>174</v>
      </c>
      <c r="M45" s="43"/>
    </row>
    <row r="46" spans="1:13" ht="15" hidden="1">
      <c r="A46" s="7">
        <v>41153</v>
      </c>
      <c r="B46" s="37">
        <f t="shared" si="12"/>
        <v>22718.083333333332</v>
      </c>
      <c r="C46" s="33">
        <f t="shared" si="13"/>
        <v>68154.25</v>
      </c>
      <c r="D46" s="33">
        <v>0</v>
      </c>
      <c r="E46" s="33">
        <v>5030</v>
      </c>
      <c r="F46" s="33">
        <v>0</v>
      </c>
      <c r="G46" s="33">
        <f t="shared" si="8"/>
        <v>5030</v>
      </c>
      <c r="H46" s="33">
        <f t="shared" si="14"/>
        <v>20951</v>
      </c>
      <c r="I46" s="33">
        <f t="shared" si="11"/>
        <v>47203.25</v>
      </c>
      <c r="J46" s="33">
        <f>H46/3</f>
        <v>6983.666666666667</v>
      </c>
      <c r="K46" s="42">
        <v>674</v>
      </c>
      <c r="L46" s="42">
        <v>172</v>
      </c>
      <c r="M46" s="43"/>
    </row>
    <row r="47" spans="1:13" ht="15" hidden="1">
      <c r="A47" s="7">
        <v>41183</v>
      </c>
      <c r="B47" s="37">
        <f t="shared" si="12"/>
        <v>22718.083333333332</v>
      </c>
      <c r="C47" s="33">
        <f t="shared" si="13"/>
        <v>90872.33333333333</v>
      </c>
      <c r="D47" s="33">
        <v>0</v>
      </c>
      <c r="E47" s="33">
        <v>11390</v>
      </c>
      <c r="F47" s="33">
        <v>0</v>
      </c>
      <c r="G47" s="33">
        <f t="shared" si="8"/>
        <v>11390</v>
      </c>
      <c r="H47" s="33">
        <f t="shared" si="14"/>
        <v>32341</v>
      </c>
      <c r="I47" s="33">
        <f t="shared" si="11"/>
        <v>58531.33333333333</v>
      </c>
      <c r="J47" s="33">
        <f>H47/4</f>
        <v>8085.25</v>
      </c>
      <c r="K47" s="42">
        <v>695</v>
      </c>
      <c r="L47" s="42">
        <v>147</v>
      </c>
      <c r="M47" s="43"/>
    </row>
    <row r="48" spans="1:13" ht="15" hidden="1">
      <c r="A48" s="7">
        <v>41214</v>
      </c>
      <c r="B48" s="37">
        <f t="shared" si="12"/>
        <v>22718.083333333332</v>
      </c>
      <c r="C48" s="33">
        <f t="shared" si="13"/>
        <v>113590.41666666666</v>
      </c>
      <c r="D48" s="33">
        <v>71</v>
      </c>
      <c r="E48" s="33">
        <v>8433</v>
      </c>
      <c r="F48" s="33">
        <v>0</v>
      </c>
      <c r="G48" s="33">
        <f t="shared" si="8"/>
        <v>8504</v>
      </c>
      <c r="H48" s="33">
        <f t="shared" si="14"/>
        <v>40845</v>
      </c>
      <c r="I48" s="33">
        <f t="shared" si="11"/>
        <v>72745.41666666666</v>
      </c>
      <c r="J48" s="33">
        <f>H48/5</f>
        <v>8169</v>
      </c>
      <c r="K48" s="42">
        <v>708</v>
      </c>
      <c r="L48" s="42">
        <v>166</v>
      </c>
      <c r="M48" s="43"/>
    </row>
    <row r="49" spans="1:13" ht="15" hidden="1">
      <c r="A49" s="7">
        <v>41244</v>
      </c>
      <c r="B49" s="37">
        <f t="shared" si="12"/>
        <v>22718.083333333332</v>
      </c>
      <c r="C49" s="33">
        <f t="shared" si="13"/>
        <v>136308.5</v>
      </c>
      <c r="D49" s="33">
        <v>0</v>
      </c>
      <c r="E49" s="33">
        <v>3567</v>
      </c>
      <c r="F49" s="33">
        <v>0</v>
      </c>
      <c r="G49" s="33">
        <f t="shared" si="8"/>
        <v>3567</v>
      </c>
      <c r="H49" s="33">
        <f t="shared" si="14"/>
        <v>44412</v>
      </c>
      <c r="I49" s="33">
        <f t="shared" si="11"/>
        <v>91896.5</v>
      </c>
      <c r="J49" s="33">
        <f>H49/6</f>
        <v>7402</v>
      </c>
      <c r="K49" s="42"/>
      <c r="L49" s="42"/>
      <c r="M49" s="43"/>
    </row>
    <row r="50" spans="1:13" ht="15" hidden="1">
      <c r="A50" s="7">
        <v>41275</v>
      </c>
      <c r="B50" s="37">
        <f t="shared" si="12"/>
        <v>22718.083333333332</v>
      </c>
      <c r="C50" s="33">
        <f t="shared" si="13"/>
        <v>159026.58333333334</v>
      </c>
      <c r="D50" s="33">
        <v>0</v>
      </c>
      <c r="E50" s="33">
        <v>3420</v>
      </c>
      <c r="F50" s="33">
        <v>0</v>
      </c>
      <c r="G50" s="33">
        <f t="shared" si="8"/>
        <v>3420</v>
      </c>
      <c r="H50" s="33">
        <f t="shared" si="14"/>
        <v>47832</v>
      </c>
      <c r="I50" s="33">
        <f t="shared" si="11"/>
        <v>111194.58333333334</v>
      </c>
      <c r="J50" s="33">
        <f>H50/7</f>
        <v>6833.142857142857</v>
      </c>
      <c r="K50" s="42"/>
      <c r="L50" s="42"/>
      <c r="M50" s="43"/>
    </row>
    <row r="51" spans="1:13" ht="15" hidden="1">
      <c r="A51" s="7">
        <v>41306</v>
      </c>
      <c r="B51" s="37">
        <f t="shared" si="12"/>
        <v>22718.083333333332</v>
      </c>
      <c r="C51" s="33">
        <f t="shared" si="13"/>
        <v>181744.6666666667</v>
      </c>
      <c r="D51" s="33">
        <v>0</v>
      </c>
      <c r="E51" s="33">
        <v>4424</v>
      </c>
      <c r="F51" s="33">
        <v>0</v>
      </c>
      <c r="G51" s="33">
        <f t="shared" si="8"/>
        <v>4424</v>
      </c>
      <c r="H51" s="33">
        <f t="shared" si="14"/>
        <v>52256</v>
      </c>
      <c r="I51" s="33">
        <f t="shared" si="11"/>
        <v>129488.66666666669</v>
      </c>
      <c r="J51" s="33">
        <f>H51/8</f>
        <v>6532</v>
      </c>
      <c r="K51" s="42"/>
      <c r="L51" s="42"/>
      <c r="M51" s="43"/>
    </row>
    <row r="52" spans="1:13" ht="15" hidden="1">
      <c r="A52" s="7">
        <v>41334</v>
      </c>
      <c r="B52" s="37">
        <f t="shared" si="12"/>
        <v>22718.083333333332</v>
      </c>
      <c r="C52" s="33">
        <f t="shared" si="13"/>
        <v>204462.75000000003</v>
      </c>
      <c r="D52" s="33">
        <v>0</v>
      </c>
      <c r="E52" s="33">
        <v>6179</v>
      </c>
      <c r="F52" s="33">
        <v>0</v>
      </c>
      <c r="G52" s="33">
        <f t="shared" si="8"/>
        <v>6179</v>
      </c>
      <c r="H52" s="33">
        <f t="shared" si="14"/>
        <v>58435</v>
      </c>
      <c r="I52" s="33">
        <f t="shared" si="11"/>
        <v>146027.75000000003</v>
      </c>
      <c r="J52" s="33">
        <f>H52/9</f>
        <v>6492.777777777777</v>
      </c>
      <c r="K52" s="42"/>
      <c r="L52" s="42"/>
      <c r="M52" s="43"/>
    </row>
    <row r="53" spans="1:13" ht="15" hidden="1">
      <c r="A53" s="7">
        <v>41365</v>
      </c>
      <c r="B53" s="37">
        <f t="shared" si="12"/>
        <v>22718.083333333332</v>
      </c>
      <c r="C53" s="33">
        <f t="shared" si="13"/>
        <v>227180.83333333337</v>
      </c>
      <c r="D53" s="33">
        <v>0</v>
      </c>
      <c r="E53" s="33">
        <v>6068</v>
      </c>
      <c r="F53" s="33">
        <v>0</v>
      </c>
      <c r="G53" s="33">
        <f t="shared" si="8"/>
        <v>6068</v>
      </c>
      <c r="H53" s="33">
        <f t="shared" si="14"/>
        <v>64503</v>
      </c>
      <c r="I53" s="33">
        <f t="shared" si="11"/>
        <v>162677.83333333337</v>
      </c>
      <c r="J53" s="33">
        <f>H53/10</f>
        <v>6450.3</v>
      </c>
      <c r="K53" s="42"/>
      <c r="L53" s="42"/>
      <c r="M53" s="43"/>
    </row>
    <row r="54" spans="1:13" ht="15" hidden="1">
      <c r="A54" s="7">
        <v>41395</v>
      </c>
      <c r="B54" s="37">
        <f t="shared" si="12"/>
        <v>22718.083333333332</v>
      </c>
      <c r="C54" s="33">
        <f t="shared" si="13"/>
        <v>249898.91666666672</v>
      </c>
      <c r="D54" s="33">
        <v>0</v>
      </c>
      <c r="E54" s="33">
        <v>8357</v>
      </c>
      <c r="F54" s="33">
        <v>0</v>
      </c>
      <c r="G54" s="33">
        <f t="shared" si="8"/>
        <v>8357</v>
      </c>
      <c r="H54" s="33">
        <f t="shared" si="14"/>
        <v>72860</v>
      </c>
      <c r="I54" s="33">
        <f t="shared" si="11"/>
        <v>177038.91666666672</v>
      </c>
      <c r="J54" s="33">
        <f>H54/11</f>
        <v>6623.636363636364</v>
      </c>
      <c r="K54" s="42"/>
      <c r="L54" s="42"/>
      <c r="M54" s="43"/>
    </row>
    <row r="55" spans="1:13" ht="15.75" hidden="1" thickBot="1">
      <c r="A55" s="7">
        <v>41426</v>
      </c>
      <c r="B55" s="39">
        <f t="shared" si="12"/>
        <v>22718.083333333332</v>
      </c>
      <c r="C55" s="34">
        <f t="shared" si="13"/>
        <v>272617.00000000006</v>
      </c>
      <c r="D55" s="34">
        <v>0</v>
      </c>
      <c r="E55" s="34">
        <v>10154</v>
      </c>
      <c r="F55" s="34">
        <v>0</v>
      </c>
      <c r="G55" s="34">
        <f t="shared" si="8"/>
        <v>10154</v>
      </c>
      <c r="H55" s="34">
        <f t="shared" si="14"/>
        <v>83014</v>
      </c>
      <c r="I55" s="34">
        <f t="shared" si="11"/>
        <v>189603.00000000006</v>
      </c>
      <c r="J55" s="34">
        <f>H55/12</f>
        <v>6917.833333333333</v>
      </c>
      <c r="K55" s="40"/>
      <c r="L55" s="40"/>
      <c r="M55" s="41"/>
    </row>
    <row r="56" spans="1:13" ht="15" hidden="1">
      <c r="A56" s="7">
        <v>41456</v>
      </c>
      <c r="B56" s="37">
        <f>$B$92/24</f>
        <v>8582.416666666666</v>
      </c>
      <c r="C56" s="33">
        <f>B56</f>
        <v>8582.416666666666</v>
      </c>
      <c r="D56" s="33">
        <v>0</v>
      </c>
      <c r="E56" s="33">
        <v>6835</v>
      </c>
      <c r="F56" s="33">
        <v>0</v>
      </c>
      <c r="G56" s="33">
        <f t="shared" si="8"/>
        <v>6835</v>
      </c>
      <c r="H56" s="33">
        <f>G56</f>
        <v>6835</v>
      </c>
      <c r="I56" s="33">
        <f t="shared" si="11"/>
        <v>1747.416666666666</v>
      </c>
      <c r="J56" s="33">
        <f>H56</f>
        <v>6835</v>
      </c>
      <c r="K56" s="42">
        <v>489</v>
      </c>
      <c r="L56" s="42">
        <v>164</v>
      </c>
      <c r="M56" s="43"/>
    </row>
    <row r="57" spans="1:13" ht="15" hidden="1">
      <c r="A57" s="7">
        <v>41487</v>
      </c>
      <c r="B57" s="37">
        <f aca="true" t="shared" si="15" ref="B57:B79">$B$92/24</f>
        <v>8582.416666666666</v>
      </c>
      <c r="C57" s="33">
        <f aca="true" t="shared" si="16" ref="C57:C79">C56+B57</f>
        <v>17164.833333333332</v>
      </c>
      <c r="D57" s="33">
        <v>0</v>
      </c>
      <c r="E57" s="33">
        <v>7522</v>
      </c>
      <c r="F57" s="33">
        <v>0</v>
      </c>
      <c r="G57" s="33">
        <f t="shared" si="8"/>
        <v>7522</v>
      </c>
      <c r="H57" s="33">
        <f aca="true" t="shared" si="17" ref="H57:H62">G57+H56</f>
        <v>14357</v>
      </c>
      <c r="I57" s="33">
        <f t="shared" si="11"/>
        <v>2807.833333333332</v>
      </c>
      <c r="J57" s="33">
        <f>H57/2</f>
        <v>7178.5</v>
      </c>
      <c r="K57" s="42">
        <v>481</v>
      </c>
      <c r="L57" s="42">
        <v>160</v>
      </c>
      <c r="M57" s="43"/>
    </row>
    <row r="58" spans="1:13" ht="15" hidden="1">
      <c r="A58" s="7">
        <v>41518</v>
      </c>
      <c r="B58" s="37">
        <f t="shared" si="15"/>
        <v>8582.416666666666</v>
      </c>
      <c r="C58" s="33">
        <f t="shared" si="16"/>
        <v>25747.25</v>
      </c>
      <c r="D58" s="33">
        <v>0</v>
      </c>
      <c r="E58" s="33">
        <v>5880</v>
      </c>
      <c r="F58" s="33">
        <v>0</v>
      </c>
      <c r="G58" s="33">
        <f t="shared" si="8"/>
        <v>5880</v>
      </c>
      <c r="H58" s="33">
        <f t="shared" si="17"/>
        <v>20237</v>
      </c>
      <c r="I58" s="33">
        <f t="shared" si="11"/>
        <v>5510.25</v>
      </c>
      <c r="J58" s="33">
        <f>H58/3</f>
        <v>6745.666666666667</v>
      </c>
      <c r="K58" s="42">
        <v>474</v>
      </c>
      <c r="L58" s="42">
        <v>178</v>
      </c>
      <c r="M58" s="43"/>
    </row>
    <row r="59" spans="1:13" ht="15" hidden="1">
      <c r="A59" s="7">
        <v>41548</v>
      </c>
      <c r="B59" s="37">
        <f t="shared" si="15"/>
        <v>8582.416666666666</v>
      </c>
      <c r="C59" s="33">
        <f t="shared" si="16"/>
        <v>34329.666666666664</v>
      </c>
      <c r="D59" s="33">
        <v>0</v>
      </c>
      <c r="E59" s="33">
        <v>3802.84</v>
      </c>
      <c r="F59" s="33">
        <v>0</v>
      </c>
      <c r="G59" s="33">
        <f t="shared" si="8"/>
        <v>3802.84</v>
      </c>
      <c r="H59" s="33">
        <f t="shared" si="17"/>
        <v>24039.84</v>
      </c>
      <c r="I59" s="33">
        <f t="shared" si="11"/>
        <v>10289.826666666664</v>
      </c>
      <c r="J59" s="33">
        <f>H59/4</f>
        <v>6009.96</v>
      </c>
      <c r="K59" s="42">
        <v>461</v>
      </c>
      <c r="L59" s="42">
        <v>147</v>
      </c>
      <c r="M59" s="43"/>
    </row>
    <row r="60" spans="1:13" ht="15" hidden="1">
      <c r="A60" s="7">
        <v>41579</v>
      </c>
      <c r="B60" s="37">
        <f t="shared" si="15"/>
        <v>8582.416666666666</v>
      </c>
      <c r="C60" s="33">
        <f t="shared" si="16"/>
        <v>42912.08333333333</v>
      </c>
      <c r="D60" s="33">
        <v>0</v>
      </c>
      <c r="E60" s="33">
        <v>6429.25</v>
      </c>
      <c r="F60" s="33">
        <v>0</v>
      </c>
      <c r="G60" s="33">
        <f t="shared" si="8"/>
        <v>6429.25</v>
      </c>
      <c r="H60" s="33">
        <f t="shared" si="17"/>
        <v>30469.09</v>
      </c>
      <c r="I60" s="33">
        <f aca="true" t="shared" si="18" ref="I60:I65">C60-H60</f>
        <v>12442.993333333328</v>
      </c>
      <c r="J60" s="33">
        <f>H60/5</f>
        <v>6093.818</v>
      </c>
      <c r="K60" s="42">
        <v>477</v>
      </c>
      <c r="L60" s="42">
        <v>136</v>
      </c>
      <c r="M60" s="43"/>
    </row>
    <row r="61" spans="1:13" ht="15" hidden="1">
      <c r="A61" s="7">
        <v>41609</v>
      </c>
      <c r="B61" s="37">
        <f t="shared" si="15"/>
        <v>8582.416666666666</v>
      </c>
      <c r="C61" s="33">
        <f t="shared" si="16"/>
        <v>51494.49999999999</v>
      </c>
      <c r="D61" s="33">
        <v>0</v>
      </c>
      <c r="E61" s="33">
        <v>3596.73</v>
      </c>
      <c r="F61" s="33">
        <v>0</v>
      </c>
      <c r="G61" s="33">
        <f t="shared" si="8"/>
        <v>3596.73</v>
      </c>
      <c r="H61" s="33">
        <f t="shared" si="17"/>
        <v>34065.82</v>
      </c>
      <c r="I61" s="33">
        <f t="shared" si="18"/>
        <v>17428.679999999993</v>
      </c>
      <c r="J61" s="33">
        <f>H61/6</f>
        <v>5677.636666666666</v>
      </c>
      <c r="K61" s="42">
        <v>478</v>
      </c>
      <c r="L61" s="42">
        <v>110</v>
      </c>
      <c r="M61" s="43"/>
    </row>
    <row r="62" spans="1:13" ht="15" hidden="1">
      <c r="A62" s="7">
        <v>41640</v>
      </c>
      <c r="B62" s="37">
        <f t="shared" si="15"/>
        <v>8582.416666666666</v>
      </c>
      <c r="C62" s="33">
        <f t="shared" si="16"/>
        <v>60076.91666666666</v>
      </c>
      <c r="D62" s="33">
        <v>0</v>
      </c>
      <c r="E62" s="33">
        <v>11341.97</v>
      </c>
      <c r="F62" s="33">
        <v>0</v>
      </c>
      <c r="G62" s="33">
        <f t="shared" si="8"/>
        <v>11341.97</v>
      </c>
      <c r="H62" s="33">
        <f t="shared" si="17"/>
        <v>45407.79</v>
      </c>
      <c r="I62" s="33">
        <f t="shared" si="18"/>
        <v>14669.126666666656</v>
      </c>
      <c r="J62" s="33">
        <f>H62/7</f>
        <v>6486.827142857143</v>
      </c>
      <c r="K62" s="42">
        <v>473</v>
      </c>
      <c r="L62" s="42">
        <v>141</v>
      </c>
      <c r="M62" s="43"/>
    </row>
    <row r="63" spans="1:13" ht="15" hidden="1">
      <c r="A63" s="7">
        <v>41671</v>
      </c>
      <c r="B63" s="37">
        <f t="shared" si="15"/>
        <v>8582.416666666666</v>
      </c>
      <c r="C63" s="33">
        <f t="shared" si="16"/>
        <v>68659.33333333333</v>
      </c>
      <c r="D63" s="33">
        <v>0</v>
      </c>
      <c r="E63" s="33">
        <v>6208.25</v>
      </c>
      <c r="F63" s="33">
        <v>0</v>
      </c>
      <c r="G63" s="33">
        <f t="shared" si="8"/>
        <v>6208.25</v>
      </c>
      <c r="H63" s="33">
        <f aca="true" t="shared" si="19" ref="H63:H68">G63+H62</f>
        <v>51616.04</v>
      </c>
      <c r="I63" s="33">
        <f t="shared" si="18"/>
        <v>17043.293333333328</v>
      </c>
      <c r="J63" s="33">
        <f>H63/8</f>
        <v>6452.005</v>
      </c>
      <c r="K63" s="42">
        <v>467</v>
      </c>
      <c r="L63" s="42">
        <v>146</v>
      </c>
      <c r="M63" s="43"/>
    </row>
    <row r="64" spans="1:13" ht="15" hidden="1">
      <c r="A64" s="7">
        <v>41699</v>
      </c>
      <c r="B64" s="37">
        <f t="shared" si="15"/>
        <v>8582.416666666666</v>
      </c>
      <c r="C64" s="33">
        <f t="shared" si="16"/>
        <v>77241.75</v>
      </c>
      <c r="D64" s="33">
        <v>0</v>
      </c>
      <c r="E64" s="33">
        <v>6918.16</v>
      </c>
      <c r="F64" s="33">
        <v>0</v>
      </c>
      <c r="G64" s="33">
        <f t="shared" si="8"/>
        <v>6918.16</v>
      </c>
      <c r="H64" s="33">
        <f t="shared" si="19"/>
        <v>58534.2</v>
      </c>
      <c r="I64" s="33">
        <f t="shared" si="18"/>
        <v>18707.550000000003</v>
      </c>
      <c r="J64" s="33">
        <f>H64/9</f>
        <v>6503.799999999999</v>
      </c>
      <c r="K64" s="42">
        <v>444</v>
      </c>
      <c r="L64" s="42">
        <v>159</v>
      </c>
      <c r="M64" s="43"/>
    </row>
    <row r="65" spans="1:13" ht="15" hidden="1">
      <c r="A65" s="7">
        <v>41730</v>
      </c>
      <c r="B65" s="37">
        <f t="shared" si="15"/>
        <v>8582.416666666666</v>
      </c>
      <c r="C65" s="33">
        <f t="shared" si="16"/>
        <v>85824.16666666667</v>
      </c>
      <c r="D65" s="33">
        <v>0</v>
      </c>
      <c r="E65" s="33">
        <v>9049.04</v>
      </c>
      <c r="F65" s="33">
        <v>0</v>
      </c>
      <c r="G65" s="33">
        <f t="shared" si="8"/>
        <v>9049.04</v>
      </c>
      <c r="H65" s="33">
        <f t="shared" si="19"/>
        <v>67583.23999999999</v>
      </c>
      <c r="I65" s="33">
        <f t="shared" si="18"/>
        <v>18240.92666666668</v>
      </c>
      <c r="J65" s="33">
        <f>H65/10</f>
        <v>6758.323999999999</v>
      </c>
      <c r="K65" s="42">
        <v>432</v>
      </c>
      <c r="L65" s="42">
        <v>183</v>
      </c>
      <c r="M65" s="43"/>
    </row>
    <row r="66" spans="1:13" ht="15" hidden="1">
      <c r="A66" s="7">
        <v>41760</v>
      </c>
      <c r="B66" s="37">
        <f t="shared" si="15"/>
        <v>8582.416666666666</v>
      </c>
      <c r="C66" s="33">
        <f t="shared" si="16"/>
        <v>94406.58333333334</v>
      </c>
      <c r="D66" s="33">
        <v>0</v>
      </c>
      <c r="E66" s="33">
        <v>8926.17</v>
      </c>
      <c r="F66" s="33">
        <v>0</v>
      </c>
      <c r="G66" s="33">
        <f t="shared" si="8"/>
        <v>8926.17</v>
      </c>
      <c r="H66" s="33">
        <f t="shared" si="19"/>
        <v>76509.40999999999</v>
      </c>
      <c r="I66" s="33">
        <f aca="true" t="shared" si="20" ref="I66:I71">C66-H66</f>
        <v>17897.173333333354</v>
      </c>
      <c r="J66" s="33">
        <f>H66/11</f>
        <v>6955.4009090909085</v>
      </c>
      <c r="K66" s="42">
        <v>420</v>
      </c>
      <c r="L66" s="42">
        <v>220</v>
      </c>
      <c r="M66" s="43"/>
    </row>
    <row r="67" spans="1:13" ht="15" hidden="1">
      <c r="A67" s="7">
        <v>41791</v>
      </c>
      <c r="B67" s="37">
        <f t="shared" si="15"/>
        <v>8582.416666666666</v>
      </c>
      <c r="C67" s="33">
        <f t="shared" si="16"/>
        <v>102989.00000000001</v>
      </c>
      <c r="D67" s="33">
        <v>0</v>
      </c>
      <c r="E67" s="33">
        <v>7348</v>
      </c>
      <c r="F67" s="33">
        <v>0</v>
      </c>
      <c r="G67" s="33">
        <f t="shared" si="8"/>
        <v>7348</v>
      </c>
      <c r="H67" s="33">
        <f t="shared" si="19"/>
        <v>83857.40999999999</v>
      </c>
      <c r="I67" s="33">
        <f t="shared" si="20"/>
        <v>19131.590000000026</v>
      </c>
      <c r="J67" s="33">
        <f>H67/12</f>
        <v>6988.117499999999</v>
      </c>
      <c r="K67" s="42">
        <v>427</v>
      </c>
      <c r="L67" s="42">
        <v>209</v>
      </c>
      <c r="M67" s="43"/>
    </row>
    <row r="68" spans="1:13" ht="15">
      <c r="A68" s="7">
        <v>41821</v>
      </c>
      <c r="B68" s="37">
        <f t="shared" si="15"/>
        <v>8582.416666666666</v>
      </c>
      <c r="C68" s="33">
        <f t="shared" si="16"/>
        <v>111571.41666666669</v>
      </c>
      <c r="D68" s="33">
        <v>0</v>
      </c>
      <c r="E68" s="33">
        <v>11166</v>
      </c>
      <c r="F68" s="33">
        <v>0</v>
      </c>
      <c r="G68" s="33">
        <f aca="true" t="shared" si="21" ref="G68:G74">D68+E68+F68</f>
        <v>11166</v>
      </c>
      <c r="H68" s="33">
        <f t="shared" si="19"/>
        <v>95023.40999999999</v>
      </c>
      <c r="I68" s="33">
        <f t="shared" si="20"/>
        <v>16548.006666666697</v>
      </c>
      <c r="J68" s="33">
        <f>H68/13</f>
        <v>7309.493076923076</v>
      </c>
      <c r="K68" s="42">
        <v>423</v>
      </c>
      <c r="L68" s="42">
        <v>257</v>
      </c>
      <c r="M68" s="43"/>
    </row>
    <row r="69" spans="1:13" ht="15">
      <c r="A69" s="7">
        <v>41852</v>
      </c>
      <c r="B69" s="37">
        <f t="shared" si="15"/>
        <v>8582.416666666666</v>
      </c>
      <c r="C69" s="33">
        <f t="shared" si="16"/>
        <v>120153.83333333336</v>
      </c>
      <c r="D69" s="33">
        <v>0</v>
      </c>
      <c r="E69" s="33">
        <v>11359</v>
      </c>
      <c r="F69" s="33">
        <v>0</v>
      </c>
      <c r="G69" s="33">
        <f t="shared" si="21"/>
        <v>11359</v>
      </c>
      <c r="H69" s="33">
        <f aca="true" t="shared" si="22" ref="H69:H74">G69+H68</f>
        <v>106382.40999999999</v>
      </c>
      <c r="I69" s="33">
        <f t="shared" si="20"/>
        <v>13771.423333333369</v>
      </c>
      <c r="J69" s="33">
        <f>H69/14</f>
        <v>7598.74357142857</v>
      </c>
      <c r="K69" s="42">
        <v>423</v>
      </c>
      <c r="L69" s="42">
        <v>308</v>
      </c>
      <c r="M69" s="43"/>
    </row>
    <row r="70" spans="1:13" ht="15">
      <c r="A70" s="7">
        <v>41883</v>
      </c>
      <c r="B70" s="37">
        <f t="shared" si="15"/>
        <v>8582.416666666666</v>
      </c>
      <c r="C70" s="33">
        <f t="shared" si="16"/>
        <v>128736.25000000003</v>
      </c>
      <c r="D70" s="33">
        <v>0</v>
      </c>
      <c r="E70" s="33">
        <v>7392</v>
      </c>
      <c r="F70" s="33">
        <v>0</v>
      </c>
      <c r="G70" s="33">
        <f t="shared" si="21"/>
        <v>7392</v>
      </c>
      <c r="H70" s="33">
        <f t="shared" si="22"/>
        <v>113774.40999999999</v>
      </c>
      <c r="I70" s="33">
        <f t="shared" si="20"/>
        <v>14961.84000000004</v>
      </c>
      <c r="J70" s="33">
        <f>H70/15</f>
        <v>7584.960666666666</v>
      </c>
      <c r="K70" s="42">
        <v>397</v>
      </c>
      <c r="L70" s="42">
        <v>292</v>
      </c>
      <c r="M70" s="43"/>
    </row>
    <row r="71" spans="1:13" ht="15">
      <c r="A71" s="7">
        <v>41913</v>
      </c>
      <c r="B71" s="37">
        <f t="shared" si="15"/>
        <v>8582.416666666666</v>
      </c>
      <c r="C71" s="33">
        <f t="shared" si="16"/>
        <v>137318.6666666667</v>
      </c>
      <c r="D71" s="33">
        <v>0</v>
      </c>
      <c r="E71" s="33">
        <v>6192</v>
      </c>
      <c r="F71" s="33">
        <v>0</v>
      </c>
      <c r="G71" s="33">
        <f t="shared" si="21"/>
        <v>6192</v>
      </c>
      <c r="H71" s="33">
        <f t="shared" si="22"/>
        <v>119966.40999999999</v>
      </c>
      <c r="I71" s="33">
        <f t="shared" si="20"/>
        <v>17352.256666666697</v>
      </c>
      <c r="J71" s="33">
        <f>H71/16</f>
        <v>7497.900624999999</v>
      </c>
      <c r="K71" s="42">
        <v>402</v>
      </c>
      <c r="L71" s="42">
        <v>273</v>
      </c>
      <c r="M71" s="43"/>
    </row>
    <row r="72" spans="1:13" ht="15">
      <c r="A72" s="7">
        <v>41944</v>
      </c>
      <c r="B72" s="37">
        <f t="shared" si="15"/>
        <v>8582.416666666666</v>
      </c>
      <c r="C72" s="33">
        <f t="shared" si="16"/>
        <v>145901.08333333334</v>
      </c>
      <c r="D72" s="33">
        <v>0</v>
      </c>
      <c r="E72" s="33">
        <v>5199</v>
      </c>
      <c r="F72" s="33">
        <v>0</v>
      </c>
      <c r="G72" s="33">
        <f t="shared" si="21"/>
        <v>5199</v>
      </c>
      <c r="H72" s="33">
        <f t="shared" si="22"/>
        <v>125165.40999999999</v>
      </c>
      <c r="I72" s="33">
        <f>C72-H72</f>
        <v>20735.673333333354</v>
      </c>
      <c r="J72" s="33">
        <f>H72/17</f>
        <v>7362.671176470588</v>
      </c>
      <c r="K72" s="42">
        <v>386</v>
      </c>
      <c r="L72" s="42">
        <v>272</v>
      </c>
      <c r="M72" s="43"/>
    </row>
    <row r="73" spans="1:13" ht="15">
      <c r="A73" s="7">
        <v>41974</v>
      </c>
      <c r="B73" s="37">
        <f t="shared" si="15"/>
        <v>8582.416666666666</v>
      </c>
      <c r="C73" s="33">
        <f t="shared" si="16"/>
        <v>154483.5</v>
      </c>
      <c r="D73" s="33">
        <v>0</v>
      </c>
      <c r="E73" s="33">
        <v>4624</v>
      </c>
      <c r="F73" s="33">
        <v>0</v>
      </c>
      <c r="G73" s="33">
        <f t="shared" si="21"/>
        <v>4624</v>
      </c>
      <c r="H73" s="33">
        <f t="shared" si="22"/>
        <v>129789.40999999999</v>
      </c>
      <c r="I73" s="33">
        <f>C73-H73</f>
        <v>24694.09000000001</v>
      </c>
      <c r="J73" s="33">
        <f>H73/18</f>
        <v>7210.522777777777</v>
      </c>
      <c r="K73" s="42">
        <v>404</v>
      </c>
      <c r="L73" s="42">
        <v>253</v>
      </c>
      <c r="M73" s="43"/>
    </row>
    <row r="74" spans="1:13" ht="15">
      <c r="A74" s="7">
        <v>42005</v>
      </c>
      <c r="B74" s="37">
        <f t="shared" si="15"/>
        <v>8582.416666666666</v>
      </c>
      <c r="C74" s="33">
        <f t="shared" si="16"/>
        <v>163065.91666666666</v>
      </c>
      <c r="D74" s="33">
        <v>0</v>
      </c>
      <c r="E74" s="33">
        <v>8397</v>
      </c>
      <c r="F74" s="33">
        <v>0</v>
      </c>
      <c r="G74" s="33">
        <f t="shared" si="21"/>
        <v>8397</v>
      </c>
      <c r="H74" s="33">
        <f t="shared" si="22"/>
        <v>138186.40999999997</v>
      </c>
      <c r="I74" s="33">
        <f>C74-H74</f>
        <v>24879.506666666683</v>
      </c>
      <c r="J74" s="33">
        <f>H74/19</f>
        <v>7272.968947368419</v>
      </c>
      <c r="K74" s="42">
        <v>399</v>
      </c>
      <c r="L74" s="42">
        <v>284</v>
      </c>
      <c r="M74" s="43"/>
    </row>
    <row r="75" spans="1:13" ht="15">
      <c r="A75" s="7">
        <v>42036</v>
      </c>
      <c r="B75" s="37">
        <f t="shared" si="15"/>
        <v>8582.416666666666</v>
      </c>
      <c r="C75" s="33">
        <f t="shared" si="16"/>
        <v>171648.3333333333</v>
      </c>
      <c r="D75" s="33"/>
      <c r="E75" s="33"/>
      <c r="F75" s="33"/>
      <c r="G75" s="33"/>
      <c r="H75" s="33"/>
      <c r="I75" s="33"/>
      <c r="J75" s="33"/>
      <c r="K75" s="42"/>
      <c r="L75" s="42"/>
      <c r="M75" s="43"/>
    </row>
    <row r="76" spans="1:13" ht="15">
      <c r="A76" s="7">
        <v>42064</v>
      </c>
      <c r="B76" s="37">
        <f t="shared" si="15"/>
        <v>8582.416666666666</v>
      </c>
      <c r="C76" s="33">
        <f t="shared" si="16"/>
        <v>180230.74999999997</v>
      </c>
      <c r="D76" s="33"/>
      <c r="E76" s="33"/>
      <c r="F76" s="33"/>
      <c r="G76" s="33"/>
      <c r="H76" s="33"/>
      <c r="I76" s="33"/>
      <c r="J76" s="33"/>
      <c r="K76" s="42"/>
      <c r="L76" s="42"/>
      <c r="M76" s="43"/>
    </row>
    <row r="77" spans="1:13" ht="15">
      <c r="A77" s="7">
        <v>42095</v>
      </c>
      <c r="B77" s="37">
        <f t="shared" si="15"/>
        <v>8582.416666666666</v>
      </c>
      <c r="C77" s="33">
        <f t="shared" si="16"/>
        <v>188813.16666666663</v>
      </c>
      <c r="D77" s="33"/>
      <c r="E77" s="33"/>
      <c r="F77" s="33"/>
      <c r="G77" s="33"/>
      <c r="H77" s="33"/>
      <c r="I77" s="33"/>
      <c r="J77" s="33"/>
      <c r="K77" s="42"/>
      <c r="L77" s="42"/>
      <c r="M77" s="43"/>
    </row>
    <row r="78" spans="1:13" ht="15">
      <c r="A78" s="7">
        <v>42125</v>
      </c>
      <c r="B78" s="37">
        <f t="shared" si="15"/>
        <v>8582.416666666666</v>
      </c>
      <c r="C78" s="33">
        <f t="shared" si="16"/>
        <v>197395.58333333328</v>
      </c>
      <c r="D78" s="33"/>
      <c r="E78" s="33"/>
      <c r="F78" s="33"/>
      <c r="G78" s="33"/>
      <c r="H78" s="33"/>
      <c r="I78" s="33"/>
      <c r="J78" s="33"/>
      <c r="K78" s="42"/>
      <c r="L78" s="42"/>
      <c r="M78" s="43"/>
    </row>
    <row r="79" spans="1:13" ht="15">
      <c r="A79" s="7">
        <v>42156</v>
      </c>
      <c r="B79" s="37">
        <f t="shared" si="15"/>
        <v>8582.416666666666</v>
      </c>
      <c r="C79" s="33">
        <f t="shared" si="16"/>
        <v>205977.99999999994</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7"/>
      <c r="B81" s="37"/>
      <c r="C81" s="33"/>
      <c r="D81" s="33"/>
      <c r="E81" s="33"/>
      <c r="F81" s="33"/>
      <c r="G81" s="33"/>
      <c r="H81" s="33"/>
      <c r="I81" s="33"/>
      <c r="J81" s="33"/>
      <c r="K81" s="42"/>
      <c r="L81" s="42"/>
      <c r="M81" s="43"/>
    </row>
    <row r="82" spans="1:13" ht="15" hidden="1">
      <c r="A82" s="20" t="s">
        <v>21</v>
      </c>
      <c r="B82" s="25">
        <v>497559</v>
      </c>
      <c r="C82" s="25">
        <f>SUM(B8:B19)</f>
        <v>497559</v>
      </c>
      <c r="D82" s="25">
        <f>SUM(D8:D19)</f>
        <v>28557</v>
      </c>
      <c r="E82" s="25">
        <f>SUM(E8:E19)</f>
        <v>490128</v>
      </c>
      <c r="F82" s="25"/>
      <c r="G82" s="25">
        <f>SUM(G8:G19)</f>
        <v>518685</v>
      </c>
      <c r="H82" s="25">
        <f>G82</f>
        <v>518685</v>
      </c>
      <c r="I82" s="25">
        <f>I20</f>
        <v>19071.600000000006</v>
      </c>
      <c r="J82" s="25">
        <f>J19</f>
        <v>47060.2</v>
      </c>
      <c r="K82" s="30">
        <f>SUM(K8:K19)</f>
        <v>4595</v>
      </c>
      <c r="L82" s="30">
        <f>SUM(L8:L19)</f>
        <v>3037</v>
      </c>
      <c r="M82" s="30">
        <f>SUM(M8:M19)</f>
        <v>469</v>
      </c>
    </row>
    <row r="83" spans="1:13" ht="15" hidden="1">
      <c r="A83" s="20" t="s">
        <v>22</v>
      </c>
      <c r="B83" s="25">
        <v>612868</v>
      </c>
      <c r="C83" s="25">
        <f>C31</f>
        <v>612868</v>
      </c>
      <c r="D83" s="25">
        <f>SUM(D20:D31)</f>
        <v>21837</v>
      </c>
      <c r="E83" s="25">
        <f>SUM(E20:E31)</f>
        <v>512300</v>
      </c>
      <c r="F83" s="25"/>
      <c r="G83" s="25">
        <f>SUM(G20:G31)</f>
        <v>534137</v>
      </c>
      <c r="H83" s="25">
        <f>G83</f>
        <v>534137</v>
      </c>
      <c r="I83" s="25">
        <f>I31</f>
        <v>78731</v>
      </c>
      <c r="J83" s="25">
        <f>AVERAGE(G20:G31)</f>
        <v>44511.416666666664</v>
      </c>
      <c r="K83" s="30">
        <f>SUM(K20:K31)</f>
        <v>6291</v>
      </c>
      <c r="L83" s="30">
        <f>SUM(L20:L31)</f>
        <v>3718</v>
      </c>
      <c r="M83" s="30">
        <f>SUM(M20:M31)</f>
        <v>1007</v>
      </c>
    </row>
    <row r="84" spans="1:13" ht="15" hidden="1">
      <c r="A84" s="20" t="s">
        <v>23</v>
      </c>
      <c r="B84" s="25">
        <f>SUM(B82:B83)</f>
        <v>1110427</v>
      </c>
      <c r="C84" s="25">
        <f>SUM(C82:C83)</f>
        <v>1110427</v>
      </c>
      <c r="D84" s="25">
        <f>D82+D83</f>
        <v>50394</v>
      </c>
      <c r="E84" s="25">
        <f>E82+E83</f>
        <v>1002428</v>
      </c>
      <c r="F84" s="25"/>
      <c r="G84" s="25">
        <f>G82+G83</f>
        <v>1052822</v>
      </c>
      <c r="H84" s="25">
        <f>H82+H83</f>
        <v>1052822</v>
      </c>
      <c r="I84" s="25"/>
      <c r="J84" s="25">
        <f>AVERAGE(G8:G31)</f>
        <v>43867.583333333336</v>
      </c>
      <c r="K84" s="27">
        <f>SUM(K82:K83)</f>
        <v>10886</v>
      </c>
      <c r="L84" s="27">
        <f>SUM(L82:L83)</f>
        <v>6755</v>
      </c>
      <c r="M84" s="27">
        <f>SUM(M82:M83)</f>
        <v>1476</v>
      </c>
    </row>
    <row r="85" spans="1:12" ht="15" hidden="1">
      <c r="A85" s="20"/>
      <c r="B85" s="25"/>
      <c r="C85" s="25"/>
      <c r="D85" s="25"/>
      <c r="E85" s="25"/>
      <c r="F85" s="25"/>
      <c r="G85" s="25"/>
      <c r="H85" s="25"/>
      <c r="I85" s="25"/>
      <c r="J85" s="25"/>
      <c r="K85" s="27"/>
      <c r="L85" s="27"/>
    </row>
    <row r="86" spans="1:13" ht="15" hidden="1">
      <c r="A86" s="20" t="s">
        <v>24</v>
      </c>
      <c r="B86" s="25">
        <v>181304</v>
      </c>
      <c r="C86" s="25">
        <f>C43</f>
        <v>181303.99999999997</v>
      </c>
      <c r="D86" s="25">
        <f>SUM(D32:D43)</f>
        <v>330</v>
      </c>
      <c r="E86" s="25">
        <f>SUM(E32:E43)</f>
        <v>24558</v>
      </c>
      <c r="F86" s="25">
        <f>SUM(F32:F70)</f>
        <v>300</v>
      </c>
      <c r="G86" s="25">
        <f>SUM(G32:G43)</f>
        <v>25188</v>
      </c>
      <c r="H86" s="25">
        <f>G86</f>
        <v>25188</v>
      </c>
      <c r="I86" s="25">
        <f>I43</f>
        <v>156115.99999999997</v>
      </c>
      <c r="J86" s="25">
        <f>AVERAGE(G32:G43)</f>
        <v>2099</v>
      </c>
      <c r="K86" s="30">
        <f>SUM(K32:K43)</f>
        <v>8472</v>
      </c>
      <c r="L86" s="30">
        <f>SUM(L32:L43)</f>
        <v>1549</v>
      </c>
      <c r="M86" s="4">
        <f>SUM(M32:M43)</f>
        <v>422</v>
      </c>
    </row>
    <row r="87" spans="1:13" ht="15" hidden="1">
      <c r="A87" s="20" t="s">
        <v>25</v>
      </c>
      <c r="B87" s="25">
        <v>272617</v>
      </c>
      <c r="C87" s="25">
        <f>SUM(B44:B55)</f>
        <v>272617.00000000006</v>
      </c>
      <c r="D87" s="25">
        <f>SUM(D44:D55)</f>
        <v>71</v>
      </c>
      <c r="E87" s="25">
        <f>SUM(E44:E55)</f>
        <v>82943</v>
      </c>
      <c r="F87" s="25">
        <f>SUM(F44:F55)</f>
        <v>0</v>
      </c>
      <c r="G87" s="25">
        <f>SUM(G44:G55)</f>
        <v>83014</v>
      </c>
      <c r="H87" s="25">
        <f>G87</f>
        <v>83014</v>
      </c>
      <c r="I87" s="25">
        <f>I55</f>
        <v>189603.00000000006</v>
      </c>
      <c r="J87" s="25">
        <f>J55</f>
        <v>6917.833333333333</v>
      </c>
      <c r="K87" s="30">
        <f>SUM(K44:K55)</f>
        <v>3436</v>
      </c>
      <c r="L87" s="30">
        <f>SUM(L44:L55)</f>
        <v>817</v>
      </c>
      <c r="M87" s="44">
        <f>SUM(M44:M55)</f>
        <v>0</v>
      </c>
    </row>
    <row r="88" spans="1:13" ht="15" hidden="1">
      <c r="A88" s="20" t="s">
        <v>26</v>
      </c>
      <c r="B88" s="25">
        <f>B86+B87</f>
        <v>453921</v>
      </c>
      <c r="C88" s="25">
        <f aca="true" t="shared" si="23" ref="C88:M88">SUM(C86:C87)</f>
        <v>453921</v>
      </c>
      <c r="D88" s="25">
        <f t="shared" si="23"/>
        <v>401</v>
      </c>
      <c r="E88" s="25">
        <f t="shared" si="23"/>
        <v>107501</v>
      </c>
      <c r="F88" s="25">
        <f t="shared" si="23"/>
        <v>300</v>
      </c>
      <c r="G88" s="25">
        <f t="shared" si="23"/>
        <v>108202</v>
      </c>
      <c r="H88" s="25">
        <f t="shared" si="23"/>
        <v>108202</v>
      </c>
      <c r="I88" s="25">
        <f t="shared" si="23"/>
        <v>345719</v>
      </c>
      <c r="J88" s="25">
        <f t="shared" si="23"/>
        <v>9016.833333333332</v>
      </c>
      <c r="K88" s="27">
        <f t="shared" si="23"/>
        <v>11908</v>
      </c>
      <c r="L88" s="27">
        <f t="shared" si="23"/>
        <v>2366</v>
      </c>
      <c r="M88" s="27">
        <f t="shared" si="23"/>
        <v>422</v>
      </c>
    </row>
    <row r="89" spans="1:13" ht="15">
      <c r="A89" s="20"/>
      <c r="B89" s="25"/>
      <c r="C89" s="25"/>
      <c r="D89" s="25"/>
      <c r="E89" s="25"/>
      <c r="F89" s="25"/>
      <c r="G89" s="25"/>
      <c r="H89" s="25"/>
      <c r="I89" s="25"/>
      <c r="J89" s="25"/>
      <c r="K89" s="27"/>
      <c r="L89" s="27"/>
      <c r="M89" s="27"/>
    </row>
    <row r="90" spans="1:13" s="56" customFormat="1" ht="18" hidden="1">
      <c r="A90" s="52" t="s">
        <v>27</v>
      </c>
      <c r="B90" s="53">
        <f>472699/2</f>
        <v>236349.5</v>
      </c>
      <c r="C90" s="53">
        <f>C67</f>
        <v>102989.00000000001</v>
      </c>
      <c r="D90" s="53">
        <f>SUM(D56:D67)</f>
        <v>0</v>
      </c>
      <c r="E90" s="53">
        <f>SUM(E56:E67)</f>
        <v>83857.40999999999</v>
      </c>
      <c r="F90" s="53">
        <f>SUM(F56:F67)</f>
        <v>0</v>
      </c>
      <c r="G90" s="53">
        <f>SUM(G56:G67)</f>
        <v>83857.40999999999</v>
      </c>
      <c r="H90" s="53">
        <f aca="true" t="shared" si="24" ref="H90:J91">H67</f>
        <v>83857.40999999999</v>
      </c>
      <c r="I90" s="53">
        <f t="shared" si="24"/>
        <v>19131.590000000026</v>
      </c>
      <c r="J90" s="53">
        <f t="shared" si="24"/>
        <v>6988.117499999999</v>
      </c>
      <c r="K90" s="54">
        <f>SUM(K56:K67)</f>
        <v>5523</v>
      </c>
      <c r="L90" s="54">
        <f>SUM(L56:L67)</f>
        <v>1953</v>
      </c>
      <c r="M90" s="55"/>
    </row>
    <row r="91" spans="1:13" s="56" customFormat="1" ht="18" hidden="1">
      <c r="A91" s="52" t="s">
        <v>28</v>
      </c>
      <c r="B91" s="53">
        <f>472699/2</f>
        <v>236349.5</v>
      </c>
      <c r="C91" s="53">
        <v>236349.49999999997</v>
      </c>
      <c r="D91" s="53">
        <f>SUM(D68:D79)</f>
        <v>0</v>
      </c>
      <c r="E91" s="53">
        <f>SUM(E68:E79)</f>
        <v>54329</v>
      </c>
      <c r="F91" s="53">
        <f>SUM(F68:F79)</f>
        <v>0</v>
      </c>
      <c r="G91" s="53">
        <f>SUM(G68:G79)</f>
        <v>54329</v>
      </c>
      <c r="H91" s="53">
        <f t="shared" si="24"/>
        <v>95023.40999999999</v>
      </c>
      <c r="I91" s="53">
        <f t="shared" si="24"/>
        <v>16548.006666666697</v>
      </c>
      <c r="J91" s="53">
        <f t="shared" si="24"/>
        <v>7309.493076923076</v>
      </c>
      <c r="K91" s="54">
        <f>SUM(K68:K79)</f>
        <v>2834</v>
      </c>
      <c r="L91" s="54">
        <f>SUM(L68:L79)</f>
        <v>1939</v>
      </c>
      <c r="M91" s="55"/>
    </row>
    <row r="92" spans="1:13" ht="18">
      <c r="A92" s="20" t="s">
        <v>29</v>
      </c>
      <c r="B92" s="8">
        <v>205978</v>
      </c>
      <c r="C92" s="8">
        <f>C79</f>
        <v>205977.99999999994</v>
      </c>
      <c r="D92" s="8">
        <f aca="true" t="shared" si="25" ref="D92:L92">D90+D91</f>
        <v>0</v>
      </c>
      <c r="E92" s="8">
        <f t="shared" si="25"/>
        <v>138186.40999999997</v>
      </c>
      <c r="F92" s="8">
        <f t="shared" si="25"/>
        <v>0</v>
      </c>
      <c r="G92" s="8">
        <f t="shared" si="25"/>
        <v>138186.40999999997</v>
      </c>
      <c r="H92" s="8">
        <f>H74</f>
        <v>138186.40999999997</v>
      </c>
      <c r="I92" s="8">
        <f>I74</f>
        <v>24879.506666666683</v>
      </c>
      <c r="J92" s="8">
        <f>J74</f>
        <v>7272.968947368419</v>
      </c>
      <c r="K92" s="9">
        <f t="shared" si="25"/>
        <v>8357</v>
      </c>
      <c r="L92" s="9">
        <f t="shared" si="25"/>
        <v>3892</v>
      </c>
      <c r="M92" s="10"/>
    </row>
    <row r="93" spans="1:13" ht="18">
      <c r="A93" s="20"/>
      <c r="B93" s="8"/>
      <c r="C93" s="8"/>
      <c r="D93" s="23"/>
      <c r="E93" s="8"/>
      <c r="F93" s="8"/>
      <c r="G93" s="8"/>
      <c r="H93" s="10"/>
      <c r="I93" s="24"/>
      <c r="J93" s="8"/>
      <c r="K93" s="21"/>
      <c r="L93" s="21"/>
      <c r="M93" s="10"/>
    </row>
    <row r="94" spans="1:12" ht="15">
      <c r="A94" s="20" t="s">
        <v>30</v>
      </c>
      <c r="B94" s="25"/>
      <c r="C94" s="25"/>
      <c r="D94" s="26"/>
      <c r="E94" s="25"/>
      <c r="F94" s="25"/>
      <c r="G94" s="25"/>
      <c r="I94" s="20"/>
      <c r="J94" s="25"/>
      <c r="K94" s="27"/>
      <c r="L94" s="27"/>
    </row>
    <row r="95" spans="1:13" ht="18">
      <c r="A95" s="28" t="s">
        <v>31</v>
      </c>
      <c r="B95" s="8"/>
      <c r="C95" s="8"/>
      <c r="D95" s="23"/>
      <c r="E95" s="8"/>
      <c r="F95" s="8"/>
      <c r="G95" s="8"/>
      <c r="H95" s="8"/>
      <c r="I95" s="8"/>
      <c r="J95" s="8"/>
      <c r="K95" s="21"/>
      <c r="L95" s="21"/>
      <c r="M95" s="10"/>
    </row>
    <row r="96" spans="1:13" ht="18">
      <c r="A96" s="28" t="s">
        <v>32</v>
      </c>
      <c r="B96" s="8"/>
      <c r="C96" s="8"/>
      <c r="D96" s="23"/>
      <c r="E96" s="8"/>
      <c r="F96" s="8"/>
      <c r="G96" s="8"/>
      <c r="H96" s="8"/>
      <c r="I96" s="8"/>
      <c r="J96" s="8"/>
      <c r="K96" s="21"/>
      <c r="L96" s="21"/>
      <c r="M96" s="10"/>
    </row>
    <row r="97" spans="1:13" ht="18">
      <c r="A97" s="28" t="s">
        <v>33</v>
      </c>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7" ht="15">
      <c r="B99" s="29"/>
      <c r="C99" s="29"/>
      <c r="D99" s="29"/>
      <c r="E99" s="29"/>
      <c r="F99" s="29"/>
      <c r="G99" s="29"/>
    </row>
    <row r="100" spans="1:7" ht="18">
      <c r="A100" s="5"/>
      <c r="B100" s="29"/>
      <c r="C100" s="29"/>
      <c r="D100" s="29"/>
      <c r="E100" s="29"/>
      <c r="F100" s="29"/>
      <c r="G100" s="29"/>
    </row>
    <row r="101" spans="1:7" ht="15">
      <c r="A101" s="20"/>
      <c r="B101" s="29"/>
      <c r="C101" s="29"/>
      <c r="D101" s="29"/>
      <c r="E101" s="29"/>
      <c r="F101" s="29"/>
      <c r="G101" s="29"/>
    </row>
    <row r="102" spans="1:7" ht="15">
      <c r="A102" s="20"/>
      <c r="B102" s="29"/>
      <c r="C102" s="29"/>
      <c r="D102" s="29"/>
      <c r="E102" s="29"/>
      <c r="F102" s="29"/>
      <c r="G102" s="29"/>
    </row>
  </sheetData>
  <sheetProtection/>
  <printOptions horizontalCentered="1"/>
  <pageMargins left="0.28" right="0.22" top="0.43" bottom="0.45" header="0.5" footer="0.5"/>
  <pageSetup fitToHeight="1" fitToWidth="1" orientation="landscape" scale="64"/>
  <headerFooter alignWithMargins="0">
    <oddFooter>&amp;L&amp;F    &amp;A&amp;C&amp;D&amp;T&amp;R&amp;P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2" width="16.140625" style="4" customWidth="1"/>
    <col min="3" max="8" width="19.421875" style="4" customWidth="1"/>
    <col min="9" max="9" width="14.421875" style="4" customWidth="1"/>
    <col min="10" max="10" width="16.421875" style="4" customWidth="1"/>
    <col min="11" max="11" width="15.00390625" style="4" customWidth="1"/>
    <col min="12" max="12" width="13.8515625" style="4" customWidth="1"/>
    <col min="13" max="13" width="19.421875" style="4" hidden="1" customWidth="1"/>
    <col min="14" max="14" width="19.421875" style="0" customWidth="1"/>
  </cols>
  <sheetData>
    <row r="1" spans="1:10" ht="18">
      <c r="A1" s="1" t="s">
        <v>0</v>
      </c>
      <c r="B1" s="2"/>
      <c r="C1" s="3"/>
      <c r="D1" s="3"/>
      <c r="E1" s="3"/>
      <c r="F1" s="3"/>
      <c r="G1" s="2"/>
      <c r="H1" s="2"/>
      <c r="I1" s="2"/>
      <c r="J1" s="2"/>
    </row>
    <row r="2" spans="1:2" ht="18">
      <c r="A2" s="5" t="s">
        <v>1</v>
      </c>
      <c r="B2" s="6">
        <v>8</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4"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115193.5</v>
      </c>
      <c r="C8" s="25">
        <f>B8</f>
        <v>115193.5</v>
      </c>
      <c r="D8" s="25">
        <v>15329</v>
      </c>
      <c r="E8" s="25">
        <v>90750</v>
      </c>
      <c r="F8" s="25"/>
      <c r="G8" s="25">
        <f aca="true" t="shared" si="1" ref="G8:G31">D8+E8</f>
        <v>106079</v>
      </c>
      <c r="H8" s="25">
        <f>G8</f>
        <v>106079</v>
      </c>
      <c r="I8" s="25">
        <f aca="true" t="shared" si="2" ref="I8:I39">C8-H8</f>
        <v>9114.5</v>
      </c>
      <c r="J8" s="25">
        <f>H8</f>
        <v>106079</v>
      </c>
      <c r="K8" s="30">
        <v>674</v>
      </c>
      <c r="L8" s="30">
        <v>723</v>
      </c>
    </row>
    <row r="9" spans="1:12" ht="15" hidden="1">
      <c r="A9" s="7">
        <v>39295</v>
      </c>
      <c r="B9" s="25">
        <f t="shared" si="0"/>
        <v>115193.5</v>
      </c>
      <c r="C9" s="25">
        <f aca="true" t="shared" si="3" ref="C9:C19">C8+B9</f>
        <v>230387</v>
      </c>
      <c r="D9" s="25">
        <v>20688</v>
      </c>
      <c r="E9" s="25">
        <v>95404</v>
      </c>
      <c r="F9" s="25"/>
      <c r="G9" s="25">
        <f t="shared" si="1"/>
        <v>116092</v>
      </c>
      <c r="H9" s="25">
        <f aca="true" t="shared" si="4" ref="H9:H19">H8+G9</f>
        <v>222171</v>
      </c>
      <c r="I9" s="25">
        <f t="shared" si="2"/>
        <v>8216</v>
      </c>
      <c r="J9" s="25">
        <f>AVERAGE(G8:G9)</f>
        <v>111085.5</v>
      </c>
      <c r="K9" s="30">
        <v>669</v>
      </c>
      <c r="L9" s="30">
        <v>694</v>
      </c>
    </row>
    <row r="10" spans="1:12" ht="15" hidden="1">
      <c r="A10" s="7">
        <v>39326</v>
      </c>
      <c r="B10" s="25">
        <f t="shared" si="0"/>
        <v>115193.5</v>
      </c>
      <c r="C10" s="25">
        <f t="shared" si="3"/>
        <v>345580.5</v>
      </c>
      <c r="D10" s="25">
        <v>18776</v>
      </c>
      <c r="E10" s="25">
        <v>92336</v>
      </c>
      <c r="F10" s="25"/>
      <c r="G10" s="25">
        <f t="shared" si="1"/>
        <v>111112</v>
      </c>
      <c r="H10" s="25">
        <f t="shared" si="4"/>
        <v>333283</v>
      </c>
      <c r="I10" s="25">
        <f t="shared" si="2"/>
        <v>12297.5</v>
      </c>
      <c r="J10" s="25">
        <f>AVERAGE(G8:G10)</f>
        <v>111094.33333333333</v>
      </c>
      <c r="K10" s="30">
        <v>721</v>
      </c>
      <c r="L10" s="30">
        <v>960</v>
      </c>
    </row>
    <row r="11" spans="1:13" ht="15" hidden="1">
      <c r="A11" s="7">
        <v>39356</v>
      </c>
      <c r="B11" s="25">
        <f t="shared" si="0"/>
        <v>115193.5</v>
      </c>
      <c r="C11" s="25">
        <f t="shared" si="3"/>
        <v>460774</v>
      </c>
      <c r="D11" s="25">
        <v>25165</v>
      </c>
      <c r="E11" s="25">
        <v>79500</v>
      </c>
      <c r="F11" s="25"/>
      <c r="G11" s="25">
        <f t="shared" si="1"/>
        <v>104665</v>
      </c>
      <c r="H11" s="25">
        <f t="shared" si="4"/>
        <v>437948</v>
      </c>
      <c r="I11" s="25">
        <f t="shared" si="2"/>
        <v>22826</v>
      </c>
      <c r="J11" s="25">
        <f>AVERAGE(G8:G11)</f>
        <v>109487</v>
      </c>
      <c r="K11" s="30">
        <v>733</v>
      </c>
      <c r="L11" s="30">
        <v>775</v>
      </c>
      <c r="M11" s="29">
        <v>28</v>
      </c>
    </row>
    <row r="12" spans="1:13" ht="15" hidden="1">
      <c r="A12" s="7">
        <v>39387</v>
      </c>
      <c r="B12" s="25">
        <f t="shared" si="0"/>
        <v>115193.5</v>
      </c>
      <c r="C12" s="25">
        <f t="shared" si="3"/>
        <v>575967.5</v>
      </c>
      <c r="D12" s="25">
        <v>17630</v>
      </c>
      <c r="E12" s="25">
        <v>97235</v>
      </c>
      <c r="F12" s="25"/>
      <c r="G12" s="25">
        <f t="shared" si="1"/>
        <v>114865</v>
      </c>
      <c r="H12" s="25">
        <f t="shared" si="4"/>
        <v>552813</v>
      </c>
      <c r="I12" s="25">
        <f t="shared" si="2"/>
        <v>23154.5</v>
      </c>
      <c r="J12" s="25">
        <f>AVERAGE(G8:G12)</f>
        <v>110562.6</v>
      </c>
      <c r="K12" s="30">
        <v>717</v>
      </c>
      <c r="L12" s="30">
        <v>693</v>
      </c>
      <c r="M12" s="29">
        <v>67</v>
      </c>
    </row>
    <row r="13" spans="1:13" ht="15" hidden="1">
      <c r="A13" s="7">
        <v>39417</v>
      </c>
      <c r="B13" s="25">
        <f t="shared" si="0"/>
        <v>115193.5</v>
      </c>
      <c r="C13" s="25">
        <f t="shared" si="3"/>
        <v>691161</v>
      </c>
      <c r="D13" s="25">
        <v>23015</v>
      </c>
      <c r="E13" s="25">
        <v>106868</v>
      </c>
      <c r="F13" s="25"/>
      <c r="G13" s="25">
        <f t="shared" si="1"/>
        <v>129883</v>
      </c>
      <c r="H13" s="25">
        <f t="shared" si="4"/>
        <v>682696</v>
      </c>
      <c r="I13" s="25">
        <f t="shared" si="2"/>
        <v>8465</v>
      </c>
      <c r="J13" s="25">
        <f>AVERAGE(G12:G13)</f>
        <v>122374</v>
      </c>
      <c r="K13" s="30">
        <v>760</v>
      </c>
      <c r="L13" s="30">
        <v>712</v>
      </c>
      <c r="M13" s="29">
        <v>85</v>
      </c>
    </row>
    <row r="14" spans="1:13" ht="15" hidden="1">
      <c r="A14" s="7">
        <v>39448</v>
      </c>
      <c r="B14" s="25">
        <f t="shared" si="0"/>
        <v>115193.5</v>
      </c>
      <c r="C14" s="25">
        <f t="shared" si="3"/>
        <v>806354.5</v>
      </c>
      <c r="D14" s="25">
        <v>31984</v>
      </c>
      <c r="E14" s="25">
        <v>108022</v>
      </c>
      <c r="F14" s="25"/>
      <c r="G14" s="25">
        <f t="shared" si="1"/>
        <v>140006</v>
      </c>
      <c r="H14" s="25">
        <f t="shared" si="4"/>
        <v>822702</v>
      </c>
      <c r="I14" s="25">
        <f t="shared" si="2"/>
        <v>-16347.5</v>
      </c>
      <c r="J14" s="25">
        <f>AVERAGE(G12:G14)</f>
        <v>128251.33333333333</v>
      </c>
      <c r="K14" s="30">
        <v>817</v>
      </c>
      <c r="L14" s="30">
        <v>806</v>
      </c>
      <c r="M14" s="29">
        <v>113</v>
      </c>
    </row>
    <row r="15" spans="1:13" ht="15" hidden="1">
      <c r="A15" s="7">
        <v>39479</v>
      </c>
      <c r="B15" s="25">
        <f t="shared" si="0"/>
        <v>115193.5</v>
      </c>
      <c r="C15" s="25">
        <f t="shared" si="3"/>
        <v>921548</v>
      </c>
      <c r="D15" s="25">
        <v>35417</v>
      </c>
      <c r="E15" s="25">
        <v>120195</v>
      </c>
      <c r="F15" s="25"/>
      <c r="G15" s="25">
        <f t="shared" si="1"/>
        <v>155612</v>
      </c>
      <c r="H15" s="25">
        <f t="shared" si="4"/>
        <v>978314</v>
      </c>
      <c r="I15" s="25">
        <f t="shared" si="2"/>
        <v>-56766</v>
      </c>
      <c r="J15" s="25">
        <f>AVERAGE(G12:G15)</f>
        <v>135091.5</v>
      </c>
      <c r="K15" s="30">
        <v>888</v>
      </c>
      <c r="L15" s="30">
        <v>878</v>
      </c>
      <c r="M15" s="29">
        <v>131</v>
      </c>
    </row>
    <row r="16" spans="1:13" ht="15" hidden="1">
      <c r="A16" s="7">
        <v>39508</v>
      </c>
      <c r="B16" s="25">
        <f t="shared" si="0"/>
        <v>115193.5</v>
      </c>
      <c r="C16" s="25">
        <f t="shared" si="3"/>
        <v>1036741.5</v>
      </c>
      <c r="D16" s="25">
        <v>22046</v>
      </c>
      <c r="E16" s="25">
        <v>132195</v>
      </c>
      <c r="F16" s="25"/>
      <c r="G16" s="25">
        <f t="shared" si="1"/>
        <v>154241</v>
      </c>
      <c r="H16" s="25">
        <f t="shared" si="4"/>
        <v>1132555</v>
      </c>
      <c r="I16" s="25">
        <f t="shared" si="2"/>
        <v>-95813.5</v>
      </c>
      <c r="J16" s="25">
        <f>AVERAGE(G12:G16)</f>
        <v>138921.4</v>
      </c>
      <c r="K16" s="30">
        <v>960</v>
      </c>
      <c r="L16" s="30">
        <v>929</v>
      </c>
      <c r="M16" s="29">
        <v>154</v>
      </c>
    </row>
    <row r="17" spans="1:13" ht="15" hidden="1">
      <c r="A17" s="7">
        <v>39539</v>
      </c>
      <c r="B17" s="25">
        <f t="shared" si="0"/>
        <v>115193.5</v>
      </c>
      <c r="C17" s="25">
        <f t="shared" si="3"/>
        <v>1151935</v>
      </c>
      <c r="D17" s="25">
        <v>26210</v>
      </c>
      <c r="E17" s="25">
        <v>141907</v>
      </c>
      <c r="F17" s="25"/>
      <c r="G17" s="25">
        <f t="shared" si="1"/>
        <v>168117</v>
      </c>
      <c r="H17" s="25">
        <f t="shared" si="4"/>
        <v>1300672</v>
      </c>
      <c r="I17" s="25">
        <f t="shared" si="2"/>
        <v>-148737</v>
      </c>
      <c r="J17" s="25">
        <f>AVERAGE(G14:G17)</f>
        <v>154494</v>
      </c>
      <c r="K17" s="30">
        <v>974</v>
      </c>
      <c r="L17" s="30">
        <v>1038</v>
      </c>
      <c r="M17" s="29">
        <v>191</v>
      </c>
    </row>
    <row r="18" spans="1:13" ht="15" hidden="1">
      <c r="A18" s="7">
        <v>39569</v>
      </c>
      <c r="B18" s="33">
        <f t="shared" si="0"/>
        <v>115193.5</v>
      </c>
      <c r="C18" s="33">
        <f t="shared" si="3"/>
        <v>1267128.5</v>
      </c>
      <c r="D18" s="33">
        <v>33755</v>
      </c>
      <c r="E18" s="33">
        <v>149818</v>
      </c>
      <c r="F18" s="33"/>
      <c r="G18" s="25">
        <f t="shared" si="1"/>
        <v>183573</v>
      </c>
      <c r="H18" s="25">
        <f t="shared" si="4"/>
        <v>1484245</v>
      </c>
      <c r="I18" s="25">
        <f t="shared" si="2"/>
        <v>-217116.5</v>
      </c>
      <c r="J18" s="25">
        <f>AVERAGE(G14:G18)</f>
        <v>160309.8</v>
      </c>
      <c r="K18" s="30">
        <v>1038</v>
      </c>
      <c r="L18" s="30">
        <v>1042</v>
      </c>
      <c r="M18" s="29">
        <v>212</v>
      </c>
    </row>
    <row r="19" spans="1:13" ht="15.75" hidden="1" thickBot="1">
      <c r="A19" s="7">
        <v>39600</v>
      </c>
      <c r="B19" s="34">
        <f t="shared" si="0"/>
        <v>115193.5</v>
      </c>
      <c r="C19" s="34">
        <f t="shared" si="3"/>
        <v>1382322</v>
      </c>
      <c r="D19" s="34">
        <v>27523</v>
      </c>
      <c r="E19" s="34">
        <v>148626</v>
      </c>
      <c r="F19" s="34"/>
      <c r="G19" s="34">
        <f t="shared" si="1"/>
        <v>176149</v>
      </c>
      <c r="H19" s="34">
        <f t="shared" si="4"/>
        <v>1660394</v>
      </c>
      <c r="I19" s="34">
        <f t="shared" si="2"/>
        <v>-278072</v>
      </c>
      <c r="J19" s="34">
        <f>AVERAGE(G15:G19)</f>
        <v>167538.4</v>
      </c>
      <c r="K19" s="35">
        <v>1026</v>
      </c>
      <c r="L19" s="35">
        <v>945</v>
      </c>
      <c r="M19" s="36">
        <v>220</v>
      </c>
    </row>
    <row r="20" spans="1:13" ht="15" hidden="1">
      <c r="A20" s="7">
        <v>39630</v>
      </c>
      <c r="B20" s="37">
        <v>213744.4</v>
      </c>
      <c r="C20" s="33">
        <f>B20</f>
        <v>213744.4</v>
      </c>
      <c r="D20" s="33">
        <v>29739</v>
      </c>
      <c r="E20" s="33">
        <v>140332</v>
      </c>
      <c r="F20" s="33"/>
      <c r="G20" s="33">
        <f t="shared" si="1"/>
        <v>170071</v>
      </c>
      <c r="H20" s="33">
        <f>G20</f>
        <v>170071</v>
      </c>
      <c r="I20" s="33">
        <f t="shared" si="2"/>
        <v>43673.399999999994</v>
      </c>
      <c r="J20" s="33">
        <f>H20</f>
        <v>170071</v>
      </c>
      <c r="K20" s="30">
        <v>1084</v>
      </c>
      <c r="L20" s="30">
        <v>1070</v>
      </c>
      <c r="M20" s="29">
        <v>255</v>
      </c>
    </row>
    <row r="21" spans="1:13" ht="15" hidden="1">
      <c r="A21" s="7">
        <v>39661</v>
      </c>
      <c r="B21" s="37">
        <v>213744.4</v>
      </c>
      <c r="C21" s="33">
        <f aca="true" t="shared" si="5" ref="C21:C31">C20+B21</f>
        <v>427488.8</v>
      </c>
      <c r="D21" s="33">
        <v>28180</v>
      </c>
      <c r="E21" s="33">
        <v>165905</v>
      </c>
      <c r="F21" s="33"/>
      <c r="G21" s="33">
        <f t="shared" si="1"/>
        <v>194085</v>
      </c>
      <c r="H21" s="33">
        <f aca="true" t="shared" si="6" ref="H21:H31">H20+G21</f>
        <v>364156</v>
      </c>
      <c r="I21" s="33">
        <f t="shared" si="2"/>
        <v>63332.79999999999</v>
      </c>
      <c r="J21" s="33">
        <f>H21/2</f>
        <v>182078</v>
      </c>
      <c r="K21" s="30">
        <v>1096</v>
      </c>
      <c r="L21" s="30">
        <v>1073</v>
      </c>
      <c r="M21" s="29">
        <v>257</v>
      </c>
    </row>
    <row r="22" spans="1:13" ht="15" hidden="1">
      <c r="A22" s="7">
        <v>39692</v>
      </c>
      <c r="B22" s="37">
        <v>213744.4</v>
      </c>
      <c r="C22" s="33">
        <f t="shared" si="5"/>
        <v>641233.2</v>
      </c>
      <c r="D22" s="33">
        <v>28987</v>
      </c>
      <c r="E22" s="33">
        <v>152677</v>
      </c>
      <c r="F22" s="33"/>
      <c r="G22" s="33">
        <f t="shared" si="1"/>
        <v>181664</v>
      </c>
      <c r="H22" s="33">
        <f t="shared" si="6"/>
        <v>545820</v>
      </c>
      <c r="I22" s="33">
        <f t="shared" si="2"/>
        <v>95413.19999999995</v>
      </c>
      <c r="J22" s="33">
        <f>H22/3</f>
        <v>181940</v>
      </c>
      <c r="K22" s="30">
        <v>1132</v>
      </c>
      <c r="L22" s="30">
        <v>1092</v>
      </c>
      <c r="M22" s="29">
        <v>267</v>
      </c>
    </row>
    <row r="23" spans="1:13" ht="15" hidden="1">
      <c r="A23" s="7">
        <v>39722</v>
      </c>
      <c r="B23" s="37">
        <v>213744.4</v>
      </c>
      <c r="C23" s="33">
        <f t="shared" si="5"/>
        <v>854977.6</v>
      </c>
      <c r="D23" s="33">
        <v>29909</v>
      </c>
      <c r="E23" s="33">
        <v>174351</v>
      </c>
      <c r="F23" s="33"/>
      <c r="G23" s="33">
        <f t="shared" si="1"/>
        <v>204260</v>
      </c>
      <c r="H23" s="33">
        <f t="shared" si="6"/>
        <v>750080</v>
      </c>
      <c r="I23" s="33">
        <f t="shared" si="2"/>
        <v>104897.59999999998</v>
      </c>
      <c r="J23" s="33">
        <f>H23/4</f>
        <v>187520</v>
      </c>
      <c r="K23" s="30">
        <v>1213</v>
      </c>
      <c r="L23" s="30">
        <v>1097</v>
      </c>
      <c r="M23" s="29">
        <v>283</v>
      </c>
    </row>
    <row r="24" spans="1:13" ht="15" hidden="1">
      <c r="A24" s="7">
        <v>39753</v>
      </c>
      <c r="B24" s="37">
        <v>213744.4</v>
      </c>
      <c r="C24" s="33">
        <f t="shared" si="5"/>
        <v>1068722</v>
      </c>
      <c r="D24" s="33">
        <v>25855</v>
      </c>
      <c r="E24" s="33">
        <v>167947</v>
      </c>
      <c r="F24" s="33"/>
      <c r="G24" s="33">
        <f t="shared" si="1"/>
        <v>193802</v>
      </c>
      <c r="H24" s="33">
        <f t="shared" si="6"/>
        <v>943882</v>
      </c>
      <c r="I24" s="33">
        <f t="shared" si="2"/>
        <v>124840</v>
      </c>
      <c r="J24" s="33">
        <f>H24/5</f>
        <v>188776.4</v>
      </c>
      <c r="K24" s="30">
        <v>1253</v>
      </c>
      <c r="L24" s="30">
        <v>1128</v>
      </c>
      <c r="M24" s="29">
        <v>271</v>
      </c>
    </row>
    <row r="25" spans="1:13" ht="15" hidden="1">
      <c r="A25" s="7">
        <v>39783</v>
      </c>
      <c r="B25" s="38">
        <v>213483.85714285713</v>
      </c>
      <c r="C25" s="33">
        <f t="shared" si="5"/>
        <v>1282205.857142857</v>
      </c>
      <c r="D25" s="33">
        <v>17705</v>
      </c>
      <c r="E25" s="33">
        <v>149722</v>
      </c>
      <c r="F25" s="33"/>
      <c r="G25" s="33">
        <f t="shared" si="1"/>
        <v>167427</v>
      </c>
      <c r="H25" s="33">
        <f t="shared" si="6"/>
        <v>1111309</v>
      </c>
      <c r="I25" s="33">
        <f t="shared" si="2"/>
        <v>170896.85714285704</v>
      </c>
      <c r="J25" s="33">
        <f>H25/6</f>
        <v>185218.16666666666</v>
      </c>
      <c r="K25" s="30">
        <v>1304</v>
      </c>
      <c r="L25" s="30">
        <v>1014</v>
      </c>
      <c r="M25" s="29">
        <v>260</v>
      </c>
    </row>
    <row r="26" spans="1:13" ht="15" hidden="1">
      <c r="A26" s="7">
        <v>39814</v>
      </c>
      <c r="B26" s="38">
        <v>213483.85714285713</v>
      </c>
      <c r="C26" s="33">
        <f t="shared" si="5"/>
        <v>1495689.714285714</v>
      </c>
      <c r="D26" s="33">
        <v>12610</v>
      </c>
      <c r="E26" s="33">
        <v>145760</v>
      </c>
      <c r="F26" s="33"/>
      <c r="G26" s="33">
        <f t="shared" si="1"/>
        <v>158370</v>
      </c>
      <c r="H26" s="33">
        <f t="shared" si="6"/>
        <v>1269679</v>
      </c>
      <c r="I26" s="33">
        <f t="shared" si="2"/>
        <v>226010.7142857141</v>
      </c>
      <c r="J26" s="33">
        <f>H26/7</f>
        <v>181382.7142857143</v>
      </c>
      <c r="K26" s="30">
        <v>1404</v>
      </c>
      <c r="L26" s="30">
        <v>991</v>
      </c>
      <c r="M26" s="29">
        <v>244</v>
      </c>
    </row>
    <row r="27" spans="1:13" ht="15" hidden="1">
      <c r="A27" s="7">
        <v>39845</v>
      </c>
      <c r="B27" s="38">
        <v>213483.85714285713</v>
      </c>
      <c r="C27" s="33">
        <f t="shared" si="5"/>
        <v>1709173.5714285711</v>
      </c>
      <c r="D27" s="33">
        <v>11708</v>
      </c>
      <c r="E27" s="33">
        <v>96748</v>
      </c>
      <c r="F27" s="33"/>
      <c r="G27" s="33">
        <f t="shared" si="1"/>
        <v>108456</v>
      </c>
      <c r="H27" s="33">
        <f t="shared" si="6"/>
        <v>1378135</v>
      </c>
      <c r="I27" s="33">
        <f t="shared" si="2"/>
        <v>331038.57142857113</v>
      </c>
      <c r="J27" s="33">
        <f>H27/8</f>
        <v>172266.875</v>
      </c>
      <c r="K27" s="30">
        <v>1490</v>
      </c>
      <c r="L27" s="30">
        <v>978</v>
      </c>
      <c r="M27" s="29">
        <v>238</v>
      </c>
    </row>
    <row r="28" spans="1:13" ht="15" hidden="1">
      <c r="A28" s="7">
        <v>39873</v>
      </c>
      <c r="B28" s="38">
        <v>213483.85714285713</v>
      </c>
      <c r="C28" s="33">
        <f t="shared" si="5"/>
        <v>1922657.4285714282</v>
      </c>
      <c r="D28" s="33">
        <v>14982</v>
      </c>
      <c r="E28" s="33">
        <v>129964</v>
      </c>
      <c r="F28" s="33"/>
      <c r="G28" s="33">
        <f t="shared" si="1"/>
        <v>144946</v>
      </c>
      <c r="H28" s="33">
        <f t="shared" si="6"/>
        <v>1523081</v>
      </c>
      <c r="I28" s="33">
        <f t="shared" si="2"/>
        <v>399576.4285714282</v>
      </c>
      <c r="J28" s="33">
        <f>H28/9</f>
        <v>169231.22222222222</v>
      </c>
      <c r="K28" s="30">
        <v>1543</v>
      </c>
      <c r="L28" s="30">
        <v>957</v>
      </c>
      <c r="M28" s="4">
        <v>235</v>
      </c>
    </row>
    <row r="29" spans="1:13" ht="15" hidden="1">
      <c r="A29" s="7">
        <v>39904</v>
      </c>
      <c r="B29" s="38">
        <v>213483.85714285713</v>
      </c>
      <c r="C29" s="33">
        <f t="shared" si="5"/>
        <v>2136141.2857142854</v>
      </c>
      <c r="D29" s="33">
        <v>13164</v>
      </c>
      <c r="E29" s="33">
        <v>117350</v>
      </c>
      <c r="F29" s="33"/>
      <c r="G29" s="33">
        <f t="shared" si="1"/>
        <v>130514</v>
      </c>
      <c r="H29" s="33">
        <f t="shared" si="6"/>
        <v>1653595</v>
      </c>
      <c r="I29" s="33">
        <f t="shared" si="2"/>
        <v>482546.28571428545</v>
      </c>
      <c r="J29" s="33">
        <f>H29/10</f>
        <v>165359.5</v>
      </c>
      <c r="K29" s="30">
        <v>1579</v>
      </c>
      <c r="L29" s="30">
        <v>959</v>
      </c>
      <c r="M29" s="4">
        <v>241</v>
      </c>
    </row>
    <row r="30" spans="1:13" ht="15" hidden="1">
      <c r="A30" s="7">
        <v>39934</v>
      </c>
      <c r="B30" s="38">
        <v>213483.85714285713</v>
      </c>
      <c r="C30" s="33">
        <f t="shared" si="5"/>
        <v>2349625.1428571427</v>
      </c>
      <c r="D30" s="33">
        <v>7622</v>
      </c>
      <c r="E30" s="33">
        <v>83563</v>
      </c>
      <c r="F30" s="33"/>
      <c r="G30" s="33">
        <f t="shared" si="1"/>
        <v>91185</v>
      </c>
      <c r="H30" s="33">
        <f t="shared" si="6"/>
        <v>1744780</v>
      </c>
      <c r="I30" s="33">
        <f t="shared" si="2"/>
        <v>604845.1428571427</v>
      </c>
      <c r="J30" s="33">
        <f>H30/11</f>
        <v>158616.36363636365</v>
      </c>
      <c r="K30" s="30">
        <v>1613</v>
      </c>
      <c r="L30" s="30">
        <v>970</v>
      </c>
      <c r="M30" s="4">
        <v>225</v>
      </c>
    </row>
    <row r="31" spans="1:13" ht="15.75" hidden="1" thickBot="1">
      <c r="A31" s="7">
        <v>39965</v>
      </c>
      <c r="B31" s="39">
        <v>213483.85714285713</v>
      </c>
      <c r="C31" s="34">
        <f t="shared" si="5"/>
        <v>2563109</v>
      </c>
      <c r="D31" s="34">
        <v>9267</v>
      </c>
      <c r="E31" s="34">
        <v>97764</v>
      </c>
      <c r="F31" s="34"/>
      <c r="G31" s="34">
        <f t="shared" si="1"/>
        <v>107031</v>
      </c>
      <c r="H31" s="34">
        <f t="shared" si="6"/>
        <v>1851811</v>
      </c>
      <c r="I31" s="34">
        <f t="shared" si="2"/>
        <v>711298</v>
      </c>
      <c r="J31" s="34">
        <f>H31/12</f>
        <v>154317.58333333334</v>
      </c>
      <c r="K31" s="40">
        <v>1614</v>
      </c>
      <c r="L31" s="40">
        <v>888</v>
      </c>
      <c r="M31" s="41">
        <v>214</v>
      </c>
    </row>
    <row r="32" spans="1:13" ht="18" hidden="1">
      <c r="A32" s="7">
        <v>40725</v>
      </c>
      <c r="B32" s="37">
        <f aca="true" t="shared" si="7" ref="B32:B43">$B$85/12</f>
        <v>48727.75</v>
      </c>
      <c r="C32" s="33">
        <f>B32</f>
        <v>48727.75</v>
      </c>
      <c r="D32" s="33">
        <v>0</v>
      </c>
      <c r="E32" s="33">
        <v>21901</v>
      </c>
      <c r="F32" s="33">
        <v>0</v>
      </c>
      <c r="G32" s="33">
        <f>D32+E32+F32</f>
        <v>21901</v>
      </c>
      <c r="H32" s="33">
        <f>G32</f>
        <v>21901</v>
      </c>
      <c r="I32" s="33">
        <f t="shared" si="2"/>
        <v>26826.75</v>
      </c>
      <c r="J32" s="11">
        <f>H32</f>
        <v>21901</v>
      </c>
      <c r="K32" s="42">
        <v>2678</v>
      </c>
      <c r="L32" s="42">
        <v>301</v>
      </c>
      <c r="M32" s="43">
        <v>161</v>
      </c>
    </row>
    <row r="33" spans="1:13" ht="18" hidden="1">
      <c r="A33" s="7">
        <v>40756</v>
      </c>
      <c r="B33" s="37">
        <f t="shared" si="7"/>
        <v>48727.75</v>
      </c>
      <c r="C33" s="33">
        <f aca="true" t="shared" si="8" ref="C33:C43">C32+B33</f>
        <v>97455.5</v>
      </c>
      <c r="D33" s="33">
        <v>0</v>
      </c>
      <c r="E33" s="33">
        <f>15542+45+250-F33</f>
        <v>15787</v>
      </c>
      <c r="F33" s="33">
        <v>50</v>
      </c>
      <c r="G33" s="33">
        <f>D33+E33</f>
        <v>15787</v>
      </c>
      <c r="H33" s="33">
        <f aca="true" t="shared" si="9" ref="H33:H43">H32+G33</f>
        <v>37688</v>
      </c>
      <c r="I33" s="33">
        <f t="shared" si="2"/>
        <v>59767.5</v>
      </c>
      <c r="J33" s="11">
        <f>H33/2</f>
        <v>18844</v>
      </c>
      <c r="K33" s="42">
        <v>2230</v>
      </c>
      <c r="L33" s="42">
        <v>382</v>
      </c>
      <c r="M33" s="43">
        <v>156</v>
      </c>
    </row>
    <row r="34" spans="1:13" ht="18" hidden="1">
      <c r="A34" s="7">
        <v>40787</v>
      </c>
      <c r="B34" s="37">
        <f t="shared" si="7"/>
        <v>48727.75</v>
      </c>
      <c r="C34" s="33">
        <f t="shared" si="8"/>
        <v>146183.25</v>
      </c>
      <c r="D34" s="33">
        <v>0</v>
      </c>
      <c r="E34" s="33">
        <v>15985</v>
      </c>
      <c r="F34" s="33">
        <v>0</v>
      </c>
      <c r="G34" s="33">
        <f aca="true" t="shared" si="10" ref="G34:G74">D34+E34+F34</f>
        <v>15985</v>
      </c>
      <c r="H34" s="33">
        <f t="shared" si="9"/>
        <v>53673</v>
      </c>
      <c r="I34" s="33">
        <f t="shared" si="2"/>
        <v>92510.25</v>
      </c>
      <c r="J34" s="11">
        <f>H34/3</f>
        <v>17891</v>
      </c>
      <c r="K34" s="42">
        <v>2357</v>
      </c>
      <c r="L34" s="42">
        <v>453</v>
      </c>
      <c r="M34" s="43">
        <v>162</v>
      </c>
    </row>
    <row r="35" spans="1:13" ht="18" hidden="1">
      <c r="A35" s="7">
        <v>40817</v>
      </c>
      <c r="B35" s="37">
        <f t="shared" si="7"/>
        <v>48727.75</v>
      </c>
      <c r="C35" s="33">
        <f t="shared" si="8"/>
        <v>194911</v>
      </c>
      <c r="D35" s="33">
        <v>0</v>
      </c>
      <c r="E35" s="33">
        <f>10296-F35</f>
        <v>9696</v>
      </c>
      <c r="F35" s="33">
        <v>600</v>
      </c>
      <c r="G35" s="33">
        <f t="shared" si="10"/>
        <v>10296</v>
      </c>
      <c r="H35" s="33">
        <f t="shared" si="9"/>
        <v>63969</v>
      </c>
      <c r="I35" s="33">
        <f t="shared" si="2"/>
        <v>130942</v>
      </c>
      <c r="J35" s="11">
        <f>H35/4</f>
        <v>15992.25</v>
      </c>
      <c r="K35" s="42">
        <v>2400</v>
      </c>
      <c r="L35" s="42">
        <v>467</v>
      </c>
      <c r="M35" s="43">
        <v>150</v>
      </c>
    </row>
    <row r="36" spans="1:13" ht="18" hidden="1">
      <c r="A36" s="7">
        <v>40848</v>
      </c>
      <c r="B36" s="37">
        <f t="shared" si="7"/>
        <v>48727.75</v>
      </c>
      <c r="C36" s="33">
        <f t="shared" si="8"/>
        <v>243638.75</v>
      </c>
      <c r="D36" s="33">
        <v>0</v>
      </c>
      <c r="E36" s="33">
        <v>14490</v>
      </c>
      <c r="F36" s="33">
        <v>0</v>
      </c>
      <c r="G36" s="33">
        <f t="shared" si="10"/>
        <v>14490</v>
      </c>
      <c r="H36" s="33">
        <f t="shared" si="9"/>
        <v>78459</v>
      </c>
      <c r="I36" s="33">
        <f t="shared" si="2"/>
        <v>165179.75</v>
      </c>
      <c r="J36" s="11">
        <f>H36/5</f>
        <v>15691.8</v>
      </c>
      <c r="K36" s="42">
        <v>2408</v>
      </c>
      <c r="L36" s="42">
        <v>449</v>
      </c>
      <c r="M36" s="43">
        <v>144</v>
      </c>
    </row>
    <row r="37" spans="1:13" ht="18" hidden="1">
      <c r="A37" s="7">
        <v>40878</v>
      </c>
      <c r="B37" s="37">
        <f t="shared" si="7"/>
        <v>48727.75</v>
      </c>
      <c r="C37" s="33">
        <f t="shared" si="8"/>
        <v>292366.5</v>
      </c>
      <c r="D37" s="33">
        <v>0</v>
      </c>
      <c r="E37" s="33">
        <v>11155</v>
      </c>
      <c r="F37" s="33">
        <v>0</v>
      </c>
      <c r="G37" s="33">
        <f t="shared" si="10"/>
        <v>11155</v>
      </c>
      <c r="H37" s="33">
        <f t="shared" si="9"/>
        <v>89614</v>
      </c>
      <c r="I37" s="33">
        <f t="shared" si="2"/>
        <v>202752.5</v>
      </c>
      <c r="J37" s="11">
        <f>H37/6</f>
        <v>14935.666666666666</v>
      </c>
      <c r="K37" s="42">
        <v>2460</v>
      </c>
      <c r="L37" s="42">
        <v>513</v>
      </c>
      <c r="M37" s="43">
        <v>170</v>
      </c>
    </row>
    <row r="38" spans="1:13" ht="18" hidden="1">
      <c r="A38" s="7">
        <v>40909</v>
      </c>
      <c r="B38" s="37">
        <f t="shared" si="7"/>
        <v>48727.75</v>
      </c>
      <c r="C38" s="33">
        <f t="shared" si="8"/>
        <v>341094.25</v>
      </c>
      <c r="D38" s="33">
        <v>0</v>
      </c>
      <c r="E38" s="33">
        <v>9825</v>
      </c>
      <c r="F38" s="33">
        <v>0</v>
      </c>
      <c r="G38" s="33">
        <f t="shared" si="10"/>
        <v>9825</v>
      </c>
      <c r="H38" s="33">
        <f t="shared" si="9"/>
        <v>99439</v>
      </c>
      <c r="I38" s="33">
        <f t="shared" si="2"/>
        <v>241655.25</v>
      </c>
      <c r="J38" s="11">
        <f>H38/7</f>
        <v>14205.57142857143</v>
      </c>
      <c r="K38" s="42">
        <v>2850</v>
      </c>
      <c r="L38" s="42">
        <v>580</v>
      </c>
      <c r="M38" s="43">
        <v>169</v>
      </c>
    </row>
    <row r="39" spans="1:13" ht="18" hidden="1">
      <c r="A39" s="7">
        <v>40940</v>
      </c>
      <c r="B39" s="37">
        <f t="shared" si="7"/>
        <v>48727.75</v>
      </c>
      <c r="C39" s="33">
        <f t="shared" si="8"/>
        <v>389822</v>
      </c>
      <c r="D39" s="33">
        <v>0</v>
      </c>
      <c r="E39" s="33">
        <v>13623</v>
      </c>
      <c r="F39" s="33">
        <v>0</v>
      </c>
      <c r="G39" s="33">
        <f t="shared" si="10"/>
        <v>13623</v>
      </c>
      <c r="H39" s="33">
        <f t="shared" si="9"/>
        <v>113062</v>
      </c>
      <c r="I39" s="33">
        <f t="shared" si="2"/>
        <v>276760</v>
      </c>
      <c r="J39" s="11">
        <f>H39/8</f>
        <v>14132.75</v>
      </c>
      <c r="K39" s="42">
        <v>2817</v>
      </c>
      <c r="L39" s="42">
        <v>644</v>
      </c>
      <c r="M39" s="43">
        <v>175</v>
      </c>
    </row>
    <row r="40" spans="1:13" ht="18" hidden="1">
      <c r="A40" s="7">
        <v>40969</v>
      </c>
      <c r="B40" s="37">
        <f t="shared" si="7"/>
        <v>48727.75</v>
      </c>
      <c r="C40" s="33">
        <f t="shared" si="8"/>
        <v>438549.75</v>
      </c>
      <c r="D40" s="33">
        <v>0</v>
      </c>
      <c r="E40" s="33">
        <v>14832</v>
      </c>
      <c r="F40" s="33">
        <v>0</v>
      </c>
      <c r="G40" s="33">
        <f t="shared" si="10"/>
        <v>14832</v>
      </c>
      <c r="H40" s="33">
        <f t="shared" si="9"/>
        <v>127894</v>
      </c>
      <c r="I40" s="33">
        <f aca="true" t="shared" si="11" ref="I40:I59">C40-H40</f>
        <v>310655.75</v>
      </c>
      <c r="J40" s="11">
        <f>H40/9</f>
        <v>14210.444444444445</v>
      </c>
      <c r="K40" s="42">
        <v>2883</v>
      </c>
      <c r="L40" s="42">
        <v>733</v>
      </c>
      <c r="M40" s="43">
        <v>183</v>
      </c>
    </row>
    <row r="41" spans="1:13" ht="18" hidden="1">
      <c r="A41" s="7">
        <v>41000</v>
      </c>
      <c r="B41" s="37">
        <f t="shared" si="7"/>
        <v>48727.75</v>
      </c>
      <c r="C41" s="33">
        <f t="shared" si="8"/>
        <v>487277.5</v>
      </c>
      <c r="D41" s="33">
        <v>0</v>
      </c>
      <c r="E41" s="33">
        <v>21684</v>
      </c>
      <c r="F41" s="33">
        <v>0</v>
      </c>
      <c r="G41" s="33">
        <f t="shared" si="10"/>
        <v>21684</v>
      </c>
      <c r="H41" s="33">
        <f t="shared" si="9"/>
        <v>149578</v>
      </c>
      <c r="I41" s="33">
        <f t="shared" si="11"/>
        <v>337699.5</v>
      </c>
      <c r="J41" s="11">
        <f>H41/10</f>
        <v>14957.8</v>
      </c>
      <c r="K41" s="42">
        <v>3125</v>
      </c>
      <c r="L41" s="42">
        <v>670</v>
      </c>
      <c r="M41" s="43">
        <v>161</v>
      </c>
    </row>
    <row r="42" spans="1:13" ht="18" hidden="1">
      <c r="A42" s="7">
        <v>41030</v>
      </c>
      <c r="B42" s="37">
        <f t="shared" si="7"/>
        <v>48727.75</v>
      </c>
      <c r="C42" s="33">
        <f t="shared" si="8"/>
        <v>536005.25</v>
      </c>
      <c r="D42" s="33">
        <v>0</v>
      </c>
      <c r="E42" s="33">
        <v>21116</v>
      </c>
      <c r="F42" s="33">
        <v>0</v>
      </c>
      <c r="G42" s="33">
        <f t="shared" si="10"/>
        <v>21116</v>
      </c>
      <c r="H42" s="33">
        <f t="shared" si="9"/>
        <v>170694</v>
      </c>
      <c r="I42" s="33">
        <f t="shared" si="11"/>
        <v>365311.25</v>
      </c>
      <c r="J42" s="11">
        <f>H42/11</f>
        <v>15517.636363636364</v>
      </c>
      <c r="K42" s="42">
        <v>2813</v>
      </c>
      <c r="L42" s="42">
        <v>575</v>
      </c>
      <c r="M42" s="43">
        <v>0</v>
      </c>
    </row>
    <row r="43" spans="1:13" ht="18.75" hidden="1" thickBot="1">
      <c r="A43" s="7">
        <v>41061</v>
      </c>
      <c r="B43" s="39">
        <f t="shared" si="7"/>
        <v>48727.75</v>
      </c>
      <c r="C43" s="34">
        <f t="shared" si="8"/>
        <v>584733</v>
      </c>
      <c r="D43" s="34">
        <v>0</v>
      </c>
      <c r="E43" s="34">
        <v>31780</v>
      </c>
      <c r="F43" s="34">
        <v>0</v>
      </c>
      <c r="G43" s="34">
        <f t="shared" si="10"/>
        <v>31780</v>
      </c>
      <c r="H43" s="34">
        <f t="shared" si="9"/>
        <v>202474</v>
      </c>
      <c r="I43" s="34">
        <f t="shared" si="11"/>
        <v>382259</v>
      </c>
      <c r="J43" s="12">
        <f>H43/12</f>
        <v>16872.833333333332</v>
      </c>
      <c r="K43" s="40">
        <v>2824</v>
      </c>
      <c r="L43" s="40">
        <v>575</v>
      </c>
      <c r="M43" s="41">
        <v>0</v>
      </c>
    </row>
    <row r="44" spans="1:13" ht="15" hidden="1">
      <c r="A44" s="7">
        <v>41091</v>
      </c>
      <c r="B44" s="37">
        <f aca="true" t="shared" si="12" ref="B44:B55">$B$86/12</f>
        <v>105794.41666666667</v>
      </c>
      <c r="C44" s="33">
        <f>B44</f>
        <v>105794.41666666667</v>
      </c>
      <c r="D44" s="33">
        <v>270</v>
      </c>
      <c r="E44" s="33">
        <v>27055</v>
      </c>
      <c r="F44" s="33">
        <v>0</v>
      </c>
      <c r="G44" s="33">
        <f t="shared" si="10"/>
        <v>27325</v>
      </c>
      <c r="H44" s="33">
        <f>G44</f>
        <v>27325</v>
      </c>
      <c r="I44" s="33">
        <f t="shared" si="11"/>
        <v>78469.41666666667</v>
      </c>
      <c r="J44" s="33">
        <f>H44/1</f>
        <v>27325</v>
      </c>
      <c r="K44" s="42">
        <v>2725</v>
      </c>
      <c r="L44" s="42">
        <v>506</v>
      </c>
      <c r="M44" s="43"/>
    </row>
    <row r="45" spans="1:13" ht="15" hidden="1">
      <c r="A45" s="7">
        <v>41122</v>
      </c>
      <c r="B45" s="37">
        <f t="shared" si="12"/>
        <v>105794.41666666667</v>
      </c>
      <c r="C45" s="33">
        <f aca="true" t="shared" si="13" ref="C45:C55">C44+B45</f>
        <v>211588.83333333334</v>
      </c>
      <c r="D45" s="33">
        <v>0</v>
      </c>
      <c r="E45" s="33">
        <v>32473</v>
      </c>
      <c r="F45" s="33">
        <v>0</v>
      </c>
      <c r="G45" s="33">
        <f t="shared" si="10"/>
        <v>32473</v>
      </c>
      <c r="H45" s="33">
        <f aca="true" t="shared" si="14" ref="H45:H55">H44+G45</f>
        <v>59798</v>
      </c>
      <c r="I45" s="33">
        <f t="shared" si="11"/>
        <v>151790.83333333334</v>
      </c>
      <c r="J45" s="33">
        <f>H45/2</f>
        <v>29899</v>
      </c>
      <c r="K45" s="42">
        <v>2856</v>
      </c>
      <c r="L45" s="42">
        <v>544</v>
      </c>
      <c r="M45" s="43"/>
    </row>
    <row r="46" spans="1:13" ht="15" hidden="1">
      <c r="A46" s="7">
        <v>41153</v>
      </c>
      <c r="B46" s="37">
        <f t="shared" si="12"/>
        <v>105794.41666666667</v>
      </c>
      <c r="C46" s="33">
        <f t="shared" si="13"/>
        <v>317383.25</v>
      </c>
      <c r="D46" s="33">
        <v>0</v>
      </c>
      <c r="E46" s="33">
        <v>29439</v>
      </c>
      <c r="F46" s="33">
        <v>0</v>
      </c>
      <c r="G46" s="33">
        <f t="shared" si="10"/>
        <v>29439</v>
      </c>
      <c r="H46" s="33">
        <f t="shared" si="14"/>
        <v>89237</v>
      </c>
      <c r="I46" s="33">
        <f t="shared" si="11"/>
        <v>228146.25</v>
      </c>
      <c r="J46" s="33">
        <f>H46/3</f>
        <v>29745.666666666668</v>
      </c>
      <c r="K46" s="42">
        <v>2827</v>
      </c>
      <c r="L46" s="42">
        <v>683</v>
      </c>
      <c r="M46" s="43"/>
    </row>
    <row r="47" spans="1:13" ht="15" hidden="1">
      <c r="A47" s="7">
        <v>41183</v>
      </c>
      <c r="B47" s="37">
        <f t="shared" si="12"/>
        <v>105794.41666666667</v>
      </c>
      <c r="C47" s="33">
        <f t="shared" si="13"/>
        <v>423177.6666666667</v>
      </c>
      <c r="D47" s="33">
        <v>80</v>
      </c>
      <c r="E47" s="33">
        <v>51549</v>
      </c>
      <c r="F47" s="33">
        <v>0</v>
      </c>
      <c r="G47" s="33">
        <f t="shared" si="10"/>
        <v>51629</v>
      </c>
      <c r="H47" s="33">
        <f t="shared" si="14"/>
        <v>140866</v>
      </c>
      <c r="I47" s="33">
        <f t="shared" si="11"/>
        <v>282311.6666666667</v>
      </c>
      <c r="J47" s="33">
        <f>H47/4</f>
        <v>35216.5</v>
      </c>
      <c r="K47" s="42">
        <v>2889</v>
      </c>
      <c r="L47" s="42">
        <v>587</v>
      </c>
      <c r="M47" s="43"/>
    </row>
    <row r="48" spans="1:13" ht="15" hidden="1">
      <c r="A48" s="7">
        <v>41214</v>
      </c>
      <c r="B48" s="37">
        <f t="shared" si="12"/>
        <v>105794.41666666667</v>
      </c>
      <c r="C48" s="33">
        <f t="shared" si="13"/>
        <v>528972.0833333334</v>
      </c>
      <c r="D48" s="33">
        <v>83</v>
      </c>
      <c r="E48" s="33">
        <v>40516</v>
      </c>
      <c r="F48" s="33">
        <v>0</v>
      </c>
      <c r="G48" s="33">
        <f t="shared" si="10"/>
        <v>40599</v>
      </c>
      <c r="H48" s="33">
        <f t="shared" si="14"/>
        <v>181465</v>
      </c>
      <c r="I48" s="33">
        <f t="shared" si="11"/>
        <v>347507.0833333334</v>
      </c>
      <c r="J48" s="33">
        <f>H48/5</f>
        <v>36293</v>
      </c>
      <c r="K48" s="42">
        <v>2884</v>
      </c>
      <c r="L48" s="42">
        <v>552</v>
      </c>
      <c r="M48" s="43"/>
    </row>
    <row r="49" spans="1:13" ht="15" hidden="1">
      <c r="A49" s="7">
        <v>41244</v>
      </c>
      <c r="B49" s="37">
        <f t="shared" si="12"/>
        <v>105794.41666666667</v>
      </c>
      <c r="C49" s="33">
        <f t="shared" si="13"/>
        <v>634766.5</v>
      </c>
      <c r="D49" s="33">
        <v>8</v>
      </c>
      <c r="E49" s="33">
        <v>32191</v>
      </c>
      <c r="F49" s="33">
        <v>0</v>
      </c>
      <c r="G49" s="33">
        <f t="shared" si="10"/>
        <v>32199</v>
      </c>
      <c r="H49" s="33">
        <f t="shared" si="14"/>
        <v>213664</v>
      </c>
      <c r="I49" s="33">
        <f t="shared" si="11"/>
        <v>421102.5</v>
      </c>
      <c r="J49" s="33">
        <f>H49/6</f>
        <v>35610.666666666664</v>
      </c>
      <c r="K49" s="42"/>
      <c r="L49" s="42"/>
      <c r="M49" s="43"/>
    </row>
    <row r="50" spans="1:13" ht="15" hidden="1">
      <c r="A50" s="7">
        <v>41275</v>
      </c>
      <c r="B50" s="37">
        <f t="shared" si="12"/>
        <v>105794.41666666667</v>
      </c>
      <c r="C50" s="33">
        <f t="shared" si="13"/>
        <v>740560.9166666666</v>
      </c>
      <c r="D50" s="33">
        <v>0</v>
      </c>
      <c r="E50" s="33">
        <v>44192</v>
      </c>
      <c r="F50" s="33">
        <v>0</v>
      </c>
      <c r="G50" s="33">
        <f t="shared" si="10"/>
        <v>44192</v>
      </c>
      <c r="H50" s="33">
        <f t="shared" si="14"/>
        <v>257856</v>
      </c>
      <c r="I50" s="33">
        <f t="shared" si="11"/>
        <v>482704.9166666666</v>
      </c>
      <c r="J50" s="33">
        <f>H50/7</f>
        <v>36836.57142857143</v>
      </c>
      <c r="K50" s="42"/>
      <c r="L50" s="42"/>
      <c r="M50" s="43"/>
    </row>
    <row r="51" spans="1:13" ht="15" hidden="1">
      <c r="A51" s="7">
        <v>41306</v>
      </c>
      <c r="B51" s="37">
        <f t="shared" si="12"/>
        <v>105794.41666666667</v>
      </c>
      <c r="C51" s="33">
        <f t="shared" si="13"/>
        <v>846355.3333333333</v>
      </c>
      <c r="D51" s="33">
        <v>0</v>
      </c>
      <c r="E51" s="33">
        <v>60901</v>
      </c>
      <c r="F51" s="33">
        <v>0</v>
      </c>
      <c r="G51" s="33">
        <f t="shared" si="10"/>
        <v>60901</v>
      </c>
      <c r="H51" s="33">
        <f t="shared" si="14"/>
        <v>318757</v>
      </c>
      <c r="I51" s="33">
        <f t="shared" si="11"/>
        <v>527598.3333333333</v>
      </c>
      <c r="J51" s="33">
        <f>H51/8</f>
        <v>39844.625</v>
      </c>
      <c r="K51" s="42"/>
      <c r="L51" s="42"/>
      <c r="M51" s="43"/>
    </row>
    <row r="52" spans="1:13" ht="15" hidden="1">
      <c r="A52" s="7">
        <v>41334</v>
      </c>
      <c r="B52" s="37">
        <f t="shared" si="12"/>
        <v>105794.41666666667</v>
      </c>
      <c r="C52" s="33">
        <f t="shared" si="13"/>
        <v>952149.7499999999</v>
      </c>
      <c r="D52" s="33">
        <v>0</v>
      </c>
      <c r="E52" s="33">
        <v>59470</v>
      </c>
      <c r="F52" s="33">
        <v>0</v>
      </c>
      <c r="G52" s="33">
        <f t="shared" si="10"/>
        <v>59470</v>
      </c>
      <c r="H52" s="33">
        <f t="shared" si="14"/>
        <v>378227</v>
      </c>
      <c r="I52" s="33">
        <f t="shared" si="11"/>
        <v>573922.7499999999</v>
      </c>
      <c r="J52" s="33">
        <f>H52/9</f>
        <v>42025.22222222222</v>
      </c>
      <c r="K52" s="42"/>
      <c r="L52" s="42"/>
      <c r="M52" s="43"/>
    </row>
    <row r="53" spans="1:13" ht="15" hidden="1">
      <c r="A53" s="7">
        <v>41365</v>
      </c>
      <c r="B53" s="37">
        <f t="shared" si="12"/>
        <v>105794.41666666667</v>
      </c>
      <c r="C53" s="33">
        <f t="shared" si="13"/>
        <v>1057944.1666666665</v>
      </c>
      <c r="D53" s="33">
        <v>40</v>
      </c>
      <c r="E53" s="33">
        <v>54830</v>
      </c>
      <c r="F53" s="33">
        <v>0</v>
      </c>
      <c r="G53" s="33">
        <f t="shared" si="10"/>
        <v>54870</v>
      </c>
      <c r="H53" s="33">
        <f t="shared" si="14"/>
        <v>433097</v>
      </c>
      <c r="I53" s="33">
        <f t="shared" si="11"/>
        <v>624847.1666666665</v>
      </c>
      <c r="J53" s="33">
        <f>H53/10</f>
        <v>43309.7</v>
      </c>
      <c r="K53" s="42"/>
      <c r="L53" s="42"/>
      <c r="M53" s="43"/>
    </row>
    <row r="54" spans="1:13" ht="15" hidden="1">
      <c r="A54" s="7">
        <v>41395</v>
      </c>
      <c r="B54" s="37">
        <f t="shared" si="12"/>
        <v>105794.41666666667</v>
      </c>
      <c r="C54" s="33">
        <f t="shared" si="13"/>
        <v>1163738.5833333333</v>
      </c>
      <c r="D54" s="33">
        <v>0</v>
      </c>
      <c r="E54" s="33">
        <v>64815</v>
      </c>
      <c r="F54" s="33">
        <v>0</v>
      </c>
      <c r="G54" s="33">
        <f t="shared" si="10"/>
        <v>64815</v>
      </c>
      <c r="H54" s="33">
        <f t="shared" si="14"/>
        <v>497912</v>
      </c>
      <c r="I54" s="33">
        <f t="shared" si="11"/>
        <v>665826.5833333333</v>
      </c>
      <c r="J54" s="33">
        <f>H54/11</f>
        <v>45264.72727272727</v>
      </c>
      <c r="K54" s="42"/>
      <c r="L54" s="42"/>
      <c r="M54" s="43"/>
    </row>
    <row r="55" spans="1:13" ht="15.75" hidden="1" thickBot="1">
      <c r="A55" s="7">
        <v>41426</v>
      </c>
      <c r="B55" s="39">
        <f t="shared" si="12"/>
        <v>105794.41666666667</v>
      </c>
      <c r="C55" s="34">
        <f t="shared" si="13"/>
        <v>1269533</v>
      </c>
      <c r="D55" s="34">
        <v>129</v>
      </c>
      <c r="E55" s="34">
        <v>64769</v>
      </c>
      <c r="F55" s="34">
        <v>0</v>
      </c>
      <c r="G55" s="34">
        <f t="shared" si="10"/>
        <v>64898</v>
      </c>
      <c r="H55" s="34">
        <f t="shared" si="14"/>
        <v>562810</v>
      </c>
      <c r="I55" s="34">
        <f t="shared" si="11"/>
        <v>706723</v>
      </c>
      <c r="J55" s="34">
        <f>H55/12</f>
        <v>46900.833333333336</v>
      </c>
      <c r="K55" s="40"/>
      <c r="L55" s="40"/>
      <c r="M55" s="41"/>
    </row>
    <row r="56" spans="1:13" ht="15" hidden="1">
      <c r="A56" s="7">
        <v>41456</v>
      </c>
      <c r="B56" s="37">
        <f>$B$91/24</f>
        <v>124188</v>
      </c>
      <c r="C56" s="33">
        <f>B56</f>
        <v>124188</v>
      </c>
      <c r="D56" s="33">
        <v>150</v>
      </c>
      <c r="E56" s="33">
        <v>66505</v>
      </c>
      <c r="F56" s="33">
        <v>0</v>
      </c>
      <c r="G56" s="33">
        <f t="shared" si="10"/>
        <v>66655</v>
      </c>
      <c r="H56" s="33">
        <f>G56</f>
        <v>66655</v>
      </c>
      <c r="I56" s="33">
        <f t="shared" si="11"/>
        <v>57533</v>
      </c>
      <c r="J56" s="33">
        <f>H56</f>
        <v>66655</v>
      </c>
      <c r="K56" s="42">
        <v>2070</v>
      </c>
      <c r="L56" s="42">
        <v>777</v>
      </c>
      <c r="M56" s="43"/>
    </row>
    <row r="57" spans="1:13" ht="15" hidden="1">
      <c r="A57" s="7">
        <v>41487</v>
      </c>
      <c r="B57" s="37">
        <f aca="true" t="shared" si="15" ref="B57:B79">$B$91/24</f>
        <v>124188</v>
      </c>
      <c r="C57" s="33">
        <f aca="true" t="shared" si="16" ref="C57:C79">C56+B57</f>
        <v>248376</v>
      </c>
      <c r="D57" s="33">
        <v>0</v>
      </c>
      <c r="E57" s="33">
        <v>73268</v>
      </c>
      <c r="F57" s="33">
        <v>0</v>
      </c>
      <c r="G57" s="33">
        <f t="shared" si="10"/>
        <v>73268</v>
      </c>
      <c r="H57" s="33">
        <f aca="true" t="shared" si="17" ref="H57:H62">G57+H56</f>
        <v>139923</v>
      </c>
      <c r="I57" s="33">
        <f t="shared" si="11"/>
        <v>108453</v>
      </c>
      <c r="J57" s="33">
        <f>H57/2</f>
        <v>69961.5</v>
      </c>
      <c r="K57" s="42">
        <v>2082</v>
      </c>
      <c r="L57" s="42">
        <v>866</v>
      </c>
      <c r="M57" s="43"/>
    </row>
    <row r="58" spans="1:13" ht="15" hidden="1">
      <c r="A58" s="7">
        <v>41518</v>
      </c>
      <c r="B58" s="37">
        <f t="shared" si="15"/>
        <v>124188</v>
      </c>
      <c r="C58" s="33">
        <f t="shared" si="16"/>
        <v>372564</v>
      </c>
      <c r="D58" s="33">
        <v>0</v>
      </c>
      <c r="E58" s="33">
        <v>55184</v>
      </c>
      <c r="F58" s="33">
        <v>0</v>
      </c>
      <c r="G58" s="33">
        <f t="shared" si="10"/>
        <v>55184</v>
      </c>
      <c r="H58" s="33">
        <f t="shared" si="17"/>
        <v>195107</v>
      </c>
      <c r="I58" s="33">
        <f t="shared" si="11"/>
        <v>177457</v>
      </c>
      <c r="J58" s="33">
        <f>H58/3</f>
        <v>65035.666666666664</v>
      </c>
      <c r="K58" s="42">
        <v>2048</v>
      </c>
      <c r="L58" s="42">
        <v>798</v>
      </c>
      <c r="M58" s="43"/>
    </row>
    <row r="59" spans="1:13" ht="15" hidden="1">
      <c r="A59" s="7">
        <v>41548</v>
      </c>
      <c r="B59" s="37">
        <f t="shared" si="15"/>
        <v>124188</v>
      </c>
      <c r="C59" s="33">
        <f t="shared" si="16"/>
        <v>496752</v>
      </c>
      <c r="D59" s="33">
        <v>0</v>
      </c>
      <c r="E59" s="33">
        <v>64144.99</v>
      </c>
      <c r="F59" s="33">
        <v>0</v>
      </c>
      <c r="G59" s="33">
        <f t="shared" si="10"/>
        <v>64144.99</v>
      </c>
      <c r="H59" s="33">
        <f t="shared" si="17"/>
        <v>259251.99</v>
      </c>
      <c r="I59" s="33">
        <f t="shared" si="11"/>
        <v>237500.01</v>
      </c>
      <c r="J59" s="33">
        <f>H59/4</f>
        <v>64812.9975</v>
      </c>
      <c r="K59" s="42">
        <v>1986</v>
      </c>
      <c r="L59" s="42">
        <v>879</v>
      </c>
      <c r="M59" s="43"/>
    </row>
    <row r="60" spans="1:13" ht="15" hidden="1">
      <c r="A60" s="7">
        <v>41579</v>
      </c>
      <c r="B60" s="37">
        <f t="shared" si="15"/>
        <v>124188</v>
      </c>
      <c r="C60" s="33">
        <f t="shared" si="16"/>
        <v>620940</v>
      </c>
      <c r="D60" s="33">
        <v>0</v>
      </c>
      <c r="E60" s="33">
        <v>71079.6</v>
      </c>
      <c r="F60" s="33">
        <v>0</v>
      </c>
      <c r="G60" s="33">
        <f t="shared" si="10"/>
        <v>71079.6</v>
      </c>
      <c r="H60" s="33">
        <f t="shared" si="17"/>
        <v>330331.58999999997</v>
      </c>
      <c r="I60" s="33">
        <f aca="true" t="shared" si="18" ref="I60:I65">C60-H60</f>
        <v>290608.41000000003</v>
      </c>
      <c r="J60" s="33">
        <f>H60/5</f>
        <v>66066.318</v>
      </c>
      <c r="K60" s="42">
        <v>1987</v>
      </c>
      <c r="L60" s="42">
        <v>850</v>
      </c>
      <c r="M60" s="43"/>
    </row>
    <row r="61" spans="1:13" ht="15" hidden="1">
      <c r="A61" s="7">
        <v>41609</v>
      </c>
      <c r="B61" s="37">
        <f t="shared" si="15"/>
        <v>124188</v>
      </c>
      <c r="C61" s="33">
        <f t="shared" si="16"/>
        <v>745128</v>
      </c>
      <c r="D61" s="33">
        <v>0</v>
      </c>
      <c r="E61" s="33">
        <v>53294.35</v>
      </c>
      <c r="F61" s="33">
        <v>0</v>
      </c>
      <c r="G61" s="33">
        <f t="shared" si="10"/>
        <v>53294.35</v>
      </c>
      <c r="H61" s="33">
        <f t="shared" si="17"/>
        <v>383625.93999999994</v>
      </c>
      <c r="I61" s="33">
        <f t="shared" si="18"/>
        <v>361502.06000000006</v>
      </c>
      <c r="J61" s="33">
        <f>H61/6</f>
        <v>63937.656666666655</v>
      </c>
      <c r="K61" s="42">
        <v>1974</v>
      </c>
      <c r="L61" s="42">
        <v>724</v>
      </c>
      <c r="M61" s="43"/>
    </row>
    <row r="62" spans="1:13" ht="15" hidden="1">
      <c r="A62" s="7">
        <v>41640</v>
      </c>
      <c r="B62" s="37">
        <f t="shared" si="15"/>
        <v>124188</v>
      </c>
      <c r="C62" s="33">
        <f t="shared" si="16"/>
        <v>869316</v>
      </c>
      <c r="D62" s="33">
        <v>126</v>
      </c>
      <c r="E62" s="33">
        <v>61194.41</v>
      </c>
      <c r="F62" s="33">
        <v>0</v>
      </c>
      <c r="G62" s="33">
        <f t="shared" si="10"/>
        <v>61320.41</v>
      </c>
      <c r="H62" s="33">
        <f t="shared" si="17"/>
        <v>444946.35</v>
      </c>
      <c r="I62" s="33">
        <f t="shared" si="18"/>
        <v>424369.65</v>
      </c>
      <c r="J62" s="33">
        <f>H62/7</f>
        <v>63563.764285714286</v>
      </c>
      <c r="K62" s="42">
        <v>2016</v>
      </c>
      <c r="L62" s="42">
        <v>1103</v>
      </c>
      <c r="M62" s="43"/>
    </row>
    <row r="63" spans="1:13" ht="15" hidden="1">
      <c r="A63" s="7">
        <v>41671</v>
      </c>
      <c r="B63" s="37">
        <f t="shared" si="15"/>
        <v>124188</v>
      </c>
      <c r="C63" s="33">
        <f t="shared" si="16"/>
        <v>993504</v>
      </c>
      <c r="D63" s="33">
        <v>378</v>
      </c>
      <c r="E63" s="33">
        <v>77236.79</v>
      </c>
      <c r="F63" s="33">
        <v>0</v>
      </c>
      <c r="G63" s="33">
        <f t="shared" si="10"/>
        <v>77614.79</v>
      </c>
      <c r="H63" s="33">
        <f aca="true" t="shared" si="19" ref="H63:H68">G63+H62</f>
        <v>522561.13999999996</v>
      </c>
      <c r="I63" s="33">
        <f t="shared" si="18"/>
        <v>470942.86000000004</v>
      </c>
      <c r="J63" s="33">
        <f>H63/8</f>
        <v>65320.142499999994</v>
      </c>
      <c r="K63" s="42">
        <v>2026</v>
      </c>
      <c r="L63" s="42">
        <v>1066</v>
      </c>
      <c r="M63" s="43"/>
    </row>
    <row r="64" spans="1:13" ht="15" hidden="1">
      <c r="A64" s="7">
        <v>41699</v>
      </c>
      <c r="B64" s="37">
        <f t="shared" si="15"/>
        <v>124188</v>
      </c>
      <c r="C64" s="33">
        <f t="shared" si="16"/>
        <v>1117692</v>
      </c>
      <c r="D64" s="33">
        <v>129</v>
      </c>
      <c r="E64" s="33">
        <v>80442.1</v>
      </c>
      <c r="F64" s="33">
        <v>0</v>
      </c>
      <c r="G64" s="33">
        <f t="shared" si="10"/>
        <v>80571.1</v>
      </c>
      <c r="H64" s="33">
        <f t="shared" si="19"/>
        <v>603132.24</v>
      </c>
      <c r="I64" s="33">
        <f t="shared" si="18"/>
        <v>514559.76</v>
      </c>
      <c r="J64" s="33">
        <f>H64/9</f>
        <v>67014.69333333333</v>
      </c>
      <c r="K64" s="42">
        <v>2018</v>
      </c>
      <c r="L64" s="42">
        <v>1310</v>
      </c>
      <c r="M64" s="43"/>
    </row>
    <row r="65" spans="1:13" ht="15" hidden="1">
      <c r="A65" s="7">
        <v>41730</v>
      </c>
      <c r="B65" s="37">
        <f t="shared" si="15"/>
        <v>124188</v>
      </c>
      <c r="C65" s="33">
        <f t="shared" si="16"/>
        <v>1241880</v>
      </c>
      <c r="D65" s="33">
        <v>172</v>
      </c>
      <c r="E65" s="33">
        <v>90797.33</v>
      </c>
      <c r="F65" s="33">
        <v>0</v>
      </c>
      <c r="G65" s="33">
        <f t="shared" si="10"/>
        <v>90969.33</v>
      </c>
      <c r="H65" s="33">
        <f t="shared" si="19"/>
        <v>694101.57</v>
      </c>
      <c r="I65" s="33">
        <f t="shared" si="18"/>
        <v>547778.43</v>
      </c>
      <c r="J65" s="33">
        <f>H65/10</f>
        <v>69410.15699999999</v>
      </c>
      <c r="K65" s="42">
        <v>2018</v>
      </c>
      <c r="L65" s="42">
        <v>1458</v>
      </c>
      <c r="M65" s="43"/>
    </row>
    <row r="66" spans="1:13" ht="15" hidden="1">
      <c r="A66" s="7">
        <v>41760</v>
      </c>
      <c r="B66" s="37">
        <f t="shared" si="15"/>
        <v>124188</v>
      </c>
      <c r="C66" s="33">
        <f t="shared" si="16"/>
        <v>1366068</v>
      </c>
      <c r="D66" s="33">
        <v>212</v>
      </c>
      <c r="E66" s="33">
        <v>88674.22</v>
      </c>
      <c r="F66" s="33">
        <v>0</v>
      </c>
      <c r="G66" s="33">
        <f t="shared" si="10"/>
        <v>88886.22</v>
      </c>
      <c r="H66" s="33">
        <f t="shared" si="19"/>
        <v>782987.7899999999</v>
      </c>
      <c r="I66" s="33">
        <f aca="true" t="shared" si="20" ref="I66:I71">C66-H66</f>
        <v>583080.2100000001</v>
      </c>
      <c r="J66" s="33">
        <f>H66/11</f>
        <v>71180.70818181818</v>
      </c>
      <c r="K66" s="42">
        <v>1965</v>
      </c>
      <c r="L66" s="42">
        <v>1558</v>
      </c>
      <c r="M66" s="43"/>
    </row>
    <row r="67" spans="1:13" ht="15" hidden="1">
      <c r="A67" s="7">
        <v>41791</v>
      </c>
      <c r="B67" s="37">
        <f t="shared" si="15"/>
        <v>124188</v>
      </c>
      <c r="C67" s="33">
        <f t="shared" si="16"/>
        <v>1490256</v>
      </c>
      <c r="D67" s="33">
        <v>644</v>
      </c>
      <c r="E67" s="33">
        <v>120044</v>
      </c>
      <c r="F67" s="33">
        <v>0</v>
      </c>
      <c r="G67" s="33">
        <f t="shared" si="10"/>
        <v>120688</v>
      </c>
      <c r="H67" s="33">
        <f t="shared" si="19"/>
        <v>903675.7899999999</v>
      </c>
      <c r="I67" s="33">
        <f t="shared" si="20"/>
        <v>586580.2100000001</v>
      </c>
      <c r="J67" s="33">
        <f>H67/12</f>
        <v>75306.31583333333</v>
      </c>
      <c r="K67" s="42">
        <v>1950</v>
      </c>
      <c r="L67" s="42">
        <v>1608</v>
      </c>
      <c r="M67" s="43"/>
    </row>
    <row r="68" spans="1:13" ht="15">
      <c r="A68" s="7">
        <v>41821</v>
      </c>
      <c r="B68" s="37">
        <f t="shared" si="15"/>
        <v>124188</v>
      </c>
      <c r="C68" s="33">
        <f t="shared" si="16"/>
        <v>1614444</v>
      </c>
      <c r="D68" s="33">
        <v>285</v>
      </c>
      <c r="E68" s="33">
        <v>229125</v>
      </c>
      <c r="F68" s="33">
        <v>0</v>
      </c>
      <c r="G68" s="33">
        <f t="shared" si="10"/>
        <v>229410</v>
      </c>
      <c r="H68" s="33">
        <f t="shared" si="19"/>
        <v>1133085.79</v>
      </c>
      <c r="I68" s="33">
        <f t="shared" si="20"/>
        <v>481358.20999999996</v>
      </c>
      <c r="J68" s="33">
        <f>H68/13</f>
        <v>87160.44538461539</v>
      </c>
      <c r="K68" s="42">
        <v>1955</v>
      </c>
      <c r="L68" s="42">
        <v>1619</v>
      </c>
      <c r="M68" s="43"/>
    </row>
    <row r="69" spans="1:13" ht="15">
      <c r="A69" s="7">
        <v>41852</v>
      </c>
      <c r="B69" s="37">
        <f t="shared" si="15"/>
        <v>124188</v>
      </c>
      <c r="C69" s="33">
        <f t="shared" si="16"/>
        <v>1738632</v>
      </c>
      <c r="D69" s="33">
        <v>140</v>
      </c>
      <c r="E69" s="33">
        <v>171266</v>
      </c>
      <c r="F69" s="33">
        <v>0</v>
      </c>
      <c r="G69" s="33">
        <f t="shared" si="10"/>
        <v>171406</v>
      </c>
      <c r="H69" s="33">
        <f aca="true" t="shared" si="21" ref="H69:H74">G69+H68</f>
        <v>1304491.79</v>
      </c>
      <c r="I69" s="33">
        <f t="shared" si="20"/>
        <v>434140.20999999996</v>
      </c>
      <c r="J69" s="33">
        <f>H69/14</f>
        <v>93177.985</v>
      </c>
      <c r="K69" s="42">
        <v>1852</v>
      </c>
      <c r="L69" s="42">
        <v>1822</v>
      </c>
      <c r="M69" s="43"/>
    </row>
    <row r="70" spans="1:13" ht="15">
      <c r="A70" s="7">
        <v>41883</v>
      </c>
      <c r="B70" s="37">
        <f t="shared" si="15"/>
        <v>124188</v>
      </c>
      <c r="C70" s="33">
        <f t="shared" si="16"/>
        <v>1862820</v>
      </c>
      <c r="D70" s="33">
        <v>553</v>
      </c>
      <c r="E70" s="33">
        <v>175823</v>
      </c>
      <c r="F70" s="33">
        <v>0</v>
      </c>
      <c r="G70" s="33">
        <f t="shared" si="10"/>
        <v>176376</v>
      </c>
      <c r="H70" s="33">
        <f t="shared" si="21"/>
        <v>1480867.79</v>
      </c>
      <c r="I70" s="33">
        <f t="shared" si="20"/>
        <v>381952.20999999996</v>
      </c>
      <c r="J70" s="33">
        <f>H70/15</f>
        <v>98724.51933333333</v>
      </c>
      <c r="K70" s="42">
        <v>1785</v>
      </c>
      <c r="L70" s="42">
        <v>1655</v>
      </c>
      <c r="M70" s="43"/>
    </row>
    <row r="71" spans="1:13" ht="15">
      <c r="A71" s="7">
        <v>41913</v>
      </c>
      <c r="B71" s="37">
        <f t="shared" si="15"/>
        <v>124188</v>
      </c>
      <c r="C71" s="33">
        <f t="shared" si="16"/>
        <v>1987008</v>
      </c>
      <c r="D71" s="33">
        <v>318</v>
      </c>
      <c r="E71" s="33">
        <v>174525</v>
      </c>
      <c r="F71" s="33">
        <v>0</v>
      </c>
      <c r="G71" s="33">
        <f t="shared" si="10"/>
        <v>174843</v>
      </c>
      <c r="H71" s="33">
        <f t="shared" si="21"/>
        <v>1655710.79</v>
      </c>
      <c r="I71" s="33">
        <f t="shared" si="20"/>
        <v>331297.20999999996</v>
      </c>
      <c r="J71" s="33">
        <f>H71/16</f>
        <v>103481.924375</v>
      </c>
      <c r="K71" s="42">
        <v>1726</v>
      </c>
      <c r="L71" s="42">
        <v>1700</v>
      </c>
      <c r="M71" s="43"/>
    </row>
    <row r="72" spans="1:13" ht="15">
      <c r="A72" s="7">
        <v>41944</v>
      </c>
      <c r="B72" s="37">
        <f t="shared" si="15"/>
        <v>124188</v>
      </c>
      <c r="C72" s="33">
        <f t="shared" si="16"/>
        <v>2111196</v>
      </c>
      <c r="D72" s="33">
        <v>0</v>
      </c>
      <c r="E72" s="33">
        <v>131265</v>
      </c>
      <c r="F72" s="33">
        <v>0</v>
      </c>
      <c r="G72" s="33">
        <f t="shared" si="10"/>
        <v>131265</v>
      </c>
      <c r="H72" s="33">
        <f t="shared" si="21"/>
        <v>1786975.79</v>
      </c>
      <c r="I72" s="33">
        <f>C72-H72</f>
        <v>324220.20999999996</v>
      </c>
      <c r="J72" s="33">
        <f>H72/17</f>
        <v>105116.22294117647</v>
      </c>
      <c r="K72" s="42">
        <v>1681</v>
      </c>
      <c r="L72" s="42">
        <v>1797</v>
      </c>
      <c r="M72" s="43"/>
    </row>
    <row r="73" spans="1:13" ht="15">
      <c r="A73" s="7">
        <v>41974</v>
      </c>
      <c r="B73" s="37">
        <f t="shared" si="15"/>
        <v>124188</v>
      </c>
      <c r="C73" s="33">
        <f t="shared" si="16"/>
        <v>2235384</v>
      </c>
      <c r="D73" s="33">
        <v>0</v>
      </c>
      <c r="E73" s="33">
        <v>137448</v>
      </c>
      <c r="F73" s="33">
        <v>0</v>
      </c>
      <c r="G73" s="33">
        <f t="shared" si="10"/>
        <v>137448</v>
      </c>
      <c r="H73" s="33">
        <f t="shared" si="21"/>
        <v>1924423.79</v>
      </c>
      <c r="I73" s="33">
        <f>C73-H73</f>
        <v>310960.20999999996</v>
      </c>
      <c r="J73" s="33">
        <f>H73/18</f>
        <v>106912.43277777778</v>
      </c>
      <c r="K73" s="42">
        <v>1614</v>
      </c>
      <c r="L73" s="42">
        <v>1660</v>
      </c>
      <c r="M73" s="43"/>
    </row>
    <row r="74" spans="1:13" ht="15">
      <c r="A74" s="7">
        <v>42005</v>
      </c>
      <c r="B74" s="37">
        <f t="shared" si="15"/>
        <v>124188</v>
      </c>
      <c r="C74" s="33">
        <f t="shared" si="16"/>
        <v>2359572</v>
      </c>
      <c r="D74" s="33">
        <v>66</v>
      </c>
      <c r="E74" s="33">
        <v>141721</v>
      </c>
      <c r="F74" s="33">
        <v>0</v>
      </c>
      <c r="G74" s="33">
        <f t="shared" si="10"/>
        <v>141787</v>
      </c>
      <c r="H74" s="33">
        <f t="shared" si="21"/>
        <v>2066210.79</v>
      </c>
      <c r="I74" s="33">
        <f>C74-H74</f>
        <v>293361.20999999996</v>
      </c>
      <c r="J74" s="33">
        <f>H74/19</f>
        <v>108747.93631578947</v>
      </c>
      <c r="K74" s="42">
        <v>1600</v>
      </c>
      <c r="L74" s="42">
        <v>1885</v>
      </c>
      <c r="M74" s="43"/>
    </row>
    <row r="75" spans="1:13" ht="15">
      <c r="A75" s="7">
        <v>42036</v>
      </c>
      <c r="B75" s="37">
        <f t="shared" si="15"/>
        <v>124188</v>
      </c>
      <c r="C75" s="33">
        <f t="shared" si="16"/>
        <v>2483760</v>
      </c>
      <c r="D75" s="33"/>
      <c r="E75" s="33"/>
      <c r="F75" s="33"/>
      <c r="G75" s="33"/>
      <c r="H75" s="33"/>
      <c r="I75" s="33"/>
      <c r="J75" s="33"/>
      <c r="K75" s="42"/>
      <c r="L75" s="42"/>
      <c r="M75" s="43"/>
    </row>
    <row r="76" spans="1:13" ht="15">
      <c r="A76" s="7">
        <v>42064</v>
      </c>
      <c r="B76" s="37">
        <f t="shared" si="15"/>
        <v>124188</v>
      </c>
      <c r="C76" s="33">
        <f t="shared" si="16"/>
        <v>2607948</v>
      </c>
      <c r="D76" s="33"/>
      <c r="E76" s="33"/>
      <c r="F76" s="33"/>
      <c r="G76" s="33"/>
      <c r="H76" s="33"/>
      <c r="I76" s="33"/>
      <c r="J76" s="33"/>
      <c r="K76" s="42"/>
      <c r="L76" s="42"/>
      <c r="M76" s="43"/>
    </row>
    <row r="77" spans="1:13" ht="15">
      <c r="A77" s="7">
        <v>42095</v>
      </c>
      <c r="B77" s="37">
        <f t="shared" si="15"/>
        <v>124188</v>
      </c>
      <c r="C77" s="33">
        <f t="shared" si="16"/>
        <v>2732136</v>
      </c>
      <c r="D77" s="33"/>
      <c r="E77" s="33"/>
      <c r="F77" s="33"/>
      <c r="G77" s="33"/>
      <c r="H77" s="33"/>
      <c r="I77" s="33"/>
      <c r="J77" s="33"/>
      <c r="K77" s="42"/>
      <c r="L77" s="42"/>
      <c r="M77" s="43"/>
    </row>
    <row r="78" spans="1:13" ht="15">
      <c r="A78" s="7">
        <v>42125</v>
      </c>
      <c r="B78" s="37">
        <f t="shared" si="15"/>
        <v>124188</v>
      </c>
      <c r="C78" s="33">
        <f t="shared" si="16"/>
        <v>2856324</v>
      </c>
      <c r="D78" s="33"/>
      <c r="E78" s="33"/>
      <c r="F78" s="33"/>
      <c r="G78" s="33"/>
      <c r="H78" s="33"/>
      <c r="I78" s="33"/>
      <c r="J78" s="33"/>
      <c r="K78" s="42"/>
      <c r="L78" s="42"/>
      <c r="M78" s="43"/>
    </row>
    <row r="79" spans="1:13" ht="15">
      <c r="A79" s="7">
        <v>42156</v>
      </c>
      <c r="B79" s="37">
        <f t="shared" si="15"/>
        <v>124188</v>
      </c>
      <c r="C79" s="33">
        <f t="shared" si="16"/>
        <v>2980512</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1382322</v>
      </c>
      <c r="C81" s="25">
        <f>SUM(B8:B19)</f>
        <v>1382322</v>
      </c>
      <c r="D81" s="25">
        <f>SUM(D8:D19)</f>
        <v>297538</v>
      </c>
      <c r="E81" s="25">
        <f>SUM(E8:E19)</f>
        <v>1362856</v>
      </c>
      <c r="F81" s="25"/>
      <c r="G81" s="25">
        <f>SUM(G8:G19)</f>
        <v>1660394</v>
      </c>
      <c r="H81" s="25">
        <f>G81</f>
        <v>1660394</v>
      </c>
      <c r="I81" s="25">
        <f>I19</f>
        <v>-278072</v>
      </c>
      <c r="J81" s="25">
        <f>J19</f>
        <v>167538.4</v>
      </c>
      <c r="K81" s="30">
        <f>SUM(K8:K19)</f>
        <v>9977</v>
      </c>
      <c r="L81" s="30">
        <f>SUM(L8:L19)</f>
        <v>10195</v>
      </c>
      <c r="M81" s="30">
        <f>SUM(M8:M19)</f>
        <v>1201</v>
      </c>
    </row>
    <row r="82" spans="1:13" ht="15" hidden="1">
      <c r="A82" s="20" t="s">
        <v>22</v>
      </c>
      <c r="B82" s="25">
        <v>2563109</v>
      </c>
      <c r="C82" s="25">
        <f>C31</f>
        <v>2563109</v>
      </c>
      <c r="D82" s="25">
        <f>SUM(D20:D31)</f>
        <v>229728</v>
      </c>
      <c r="E82" s="25">
        <f>SUM(E20:E31)</f>
        <v>1622083</v>
      </c>
      <c r="F82" s="25"/>
      <c r="G82" s="25">
        <f>SUM(G20:G31)</f>
        <v>1851811</v>
      </c>
      <c r="H82" s="25">
        <f>G82</f>
        <v>1851811</v>
      </c>
      <c r="I82" s="25">
        <f>I31</f>
        <v>711298</v>
      </c>
      <c r="J82" s="25">
        <f>AVERAGE(G20:G31)</f>
        <v>154317.58333333334</v>
      </c>
      <c r="K82" s="30">
        <f>SUM(K20:K31)</f>
        <v>16325</v>
      </c>
      <c r="L82" s="30">
        <f>SUM(L20:L31)</f>
        <v>12217</v>
      </c>
      <c r="M82" s="30">
        <f>SUM(M20:M31)</f>
        <v>2990</v>
      </c>
    </row>
    <row r="83" spans="1:13" ht="15" hidden="1">
      <c r="A83" s="20" t="s">
        <v>23</v>
      </c>
      <c r="B83" s="25">
        <f>SUM(B81:B82)</f>
        <v>3945431</v>
      </c>
      <c r="C83" s="25">
        <f>SUM(C81:C82)</f>
        <v>3945431</v>
      </c>
      <c r="D83" s="25">
        <f>D81+D82</f>
        <v>527266</v>
      </c>
      <c r="E83" s="25">
        <f>E81+E82</f>
        <v>2984939</v>
      </c>
      <c r="F83" s="25"/>
      <c r="G83" s="25">
        <f>G81+G82</f>
        <v>3512205</v>
      </c>
      <c r="H83" s="25">
        <f>H81+H82</f>
        <v>3512205</v>
      </c>
      <c r="I83" s="25"/>
      <c r="J83" s="25">
        <f>AVERAGE(G8:G31)</f>
        <v>146341.875</v>
      </c>
      <c r="K83" s="27">
        <f>SUM(K81:K82)</f>
        <v>26302</v>
      </c>
      <c r="L83" s="27">
        <f>SUM(L81:L82)</f>
        <v>22412</v>
      </c>
      <c r="M83" s="27">
        <f>SUM(M81:M82)</f>
        <v>4191</v>
      </c>
    </row>
    <row r="84" spans="1:12" ht="15" hidden="1">
      <c r="A84" s="20"/>
      <c r="B84" s="25"/>
      <c r="C84" s="25"/>
      <c r="D84" s="25"/>
      <c r="E84" s="25"/>
      <c r="F84" s="25"/>
      <c r="G84" s="25"/>
      <c r="H84" s="25"/>
      <c r="I84" s="25"/>
      <c r="J84" s="25"/>
      <c r="K84" s="27"/>
      <c r="L84" s="27"/>
    </row>
    <row r="85" spans="1:13" ht="15" hidden="1">
      <c r="A85" s="20" t="s">
        <v>24</v>
      </c>
      <c r="B85" s="25">
        <v>584733</v>
      </c>
      <c r="C85" s="25">
        <f>C43</f>
        <v>584733</v>
      </c>
      <c r="D85" s="25">
        <f>SUM(D32:D43)</f>
        <v>0</v>
      </c>
      <c r="E85" s="25">
        <f>SUM(E32:E43)</f>
        <v>201874</v>
      </c>
      <c r="F85" s="25">
        <f>SUM(F32:F74)</f>
        <v>650</v>
      </c>
      <c r="G85" s="25">
        <f>SUM(G32:G43)</f>
        <v>202474</v>
      </c>
      <c r="H85" s="25">
        <f>G85</f>
        <v>202474</v>
      </c>
      <c r="I85" s="25">
        <f>I43</f>
        <v>382259</v>
      </c>
      <c r="J85" s="25">
        <f>AVERAGE(G32:G43)</f>
        <v>16872.833333333332</v>
      </c>
      <c r="K85" s="30">
        <f>SUM(K32:K43)</f>
        <v>31845</v>
      </c>
      <c r="L85" s="30">
        <f>SUM(L32:L43)</f>
        <v>6342</v>
      </c>
      <c r="M85" s="4">
        <f>SUM(M32:M43)</f>
        <v>1631</v>
      </c>
    </row>
    <row r="86" spans="1:13" ht="15" hidden="1">
      <c r="A86" s="20" t="s">
        <v>25</v>
      </c>
      <c r="B86" s="25">
        <v>1269533</v>
      </c>
      <c r="C86" s="25">
        <f>SUM(B44:B55)</f>
        <v>1269533</v>
      </c>
      <c r="D86" s="25">
        <f>SUM(D44:D55)</f>
        <v>610</v>
      </c>
      <c r="E86" s="25">
        <f>SUM(E44:E55)</f>
        <v>562200</v>
      </c>
      <c r="F86" s="25">
        <f>SUM(F44:F55)</f>
        <v>0</v>
      </c>
      <c r="G86" s="25">
        <f>SUM(G44:G55)</f>
        <v>562810</v>
      </c>
      <c r="H86" s="25">
        <f>G86</f>
        <v>562810</v>
      </c>
      <c r="I86" s="25">
        <f>I55</f>
        <v>706723</v>
      </c>
      <c r="J86" s="25">
        <f>J55</f>
        <v>46900.833333333336</v>
      </c>
      <c r="K86" s="30">
        <f>SUM(K44:K55)</f>
        <v>14181</v>
      </c>
      <c r="L86" s="30">
        <f>SUM(L44:L55)</f>
        <v>2872</v>
      </c>
      <c r="M86" s="44">
        <f>SUM(M44:M55)</f>
        <v>0</v>
      </c>
    </row>
    <row r="87" spans="1:13" ht="15" hidden="1">
      <c r="A87" s="20" t="s">
        <v>26</v>
      </c>
      <c r="B87" s="25">
        <f>B85+B86</f>
        <v>1854266</v>
      </c>
      <c r="C87" s="25">
        <f aca="true" t="shared" si="22" ref="C87:M87">SUM(C85:C86)</f>
        <v>1854266</v>
      </c>
      <c r="D87" s="25">
        <f t="shared" si="22"/>
        <v>610</v>
      </c>
      <c r="E87" s="25">
        <f t="shared" si="22"/>
        <v>764074</v>
      </c>
      <c r="F87" s="25">
        <f t="shared" si="22"/>
        <v>650</v>
      </c>
      <c r="G87" s="25">
        <f t="shared" si="22"/>
        <v>765284</v>
      </c>
      <c r="H87" s="25">
        <f t="shared" si="22"/>
        <v>765284</v>
      </c>
      <c r="I87" s="25">
        <f t="shared" si="22"/>
        <v>1088982</v>
      </c>
      <c r="J87" s="25">
        <f t="shared" si="22"/>
        <v>63773.66666666667</v>
      </c>
      <c r="K87" s="27">
        <f t="shared" si="22"/>
        <v>46026</v>
      </c>
      <c r="L87" s="27">
        <f t="shared" si="22"/>
        <v>9214</v>
      </c>
      <c r="M87" s="27">
        <f t="shared" si="22"/>
        <v>1631</v>
      </c>
    </row>
    <row r="88" spans="1:13" ht="15">
      <c r="A88" s="20"/>
      <c r="B88" s="25"/>
      <c r="C88" s="25"/>
      <c r="D88" s="25"/>
      <c r="E88" s="25"/>
      <c r="F88" s="25"/>
      <c r="G88" s="25"/>
      <c r="H88" s="25"/>
      <c r="I88" s="25"/>
      <c r="J88" s="25"/>
      <c r="K88" s="27"/>
      <c r="L88" s="27"/>
      <c r="M88" s="27"/>
    </row>
    <row r="89" spans="1:13" s="56" customFormat="1" ht="18" hidden="1">
      <c r="A89" s="52" t="s">
        <v>27</v>
      </c>
      <c r="B89" s="53">
        <f>2462618/2</f>
        <v>1231309</v>
      </c>
      <c r="C89" s="53">
        <f>C67</f>
        <v>1490256</v>
      </c>
      <c r="D89" s="53">
        <f>SUM(D56:D67)</f>
        <v>1811</v>
      </c>
      <c r="E89" s="53">
        <f>SUM(E56:E67)</f>
        <v>901864.7899999999</v>
      </c>
      <c r="F89" s="53">
        <f>SUM(F56:F67)</f>
        <v>0</v>
      </c>
      <c r="G89" s="53">
        <f>SUM(G56:G67)</f>
        <v>903675.7899999999</v>
      </c>
      <c r="H89" s="53">
        <f aca="true" t="shared" si="23" ref="H89:J90">H67</f>
        <v>903675.7899999999</v>
      </c>
      <c r="I89" s="53">
        <f t="shared" si="23"/>
        <v>586580.2100000001</v>
      </c>
      <c r="J89" s="53">
        <f t="shared" si="23"/>
        <v>75306.31583333333</v>
      </c>
      <c r="K89" s="54">
        <f>SUM(K56:K67)</f>
        <v>24140</v>
      </c>
      <c r="L89" s="54">
        <f>SUM(L56:L67)</f>
        <v>12997</v>
      </c>
      <c r="M89" s="55"/>
    </row>
    <row r="90" spans="1:13" s="56" customFormat="1" ht="18" hidden="1">
      <c r="A90" s="52" t="s">
        <v>28</v>
      </c>
      <c r="B90" s="53">
        <f>2462618/2</f>
        <v>1231309</v>
      </c>
      <c r="C90" s="53">
        <v>1231309</v>
      </c>
      <c r="D90" s="53">
        <f>SUM(D68:D79)</f>
        <v>1362</v>
      </c>
      <c r="E90" s="53">
        <f>SUM(E68:E79)</f>
        <v>1161173</v>
      </c>
      <c r="F90" s="53">
        <f>SUM(F68:F79)</f>
        <v>0</v>
      </c>
      <c r="G90" s="53">
        <f>SUM(G68:G79)</f>
        <v>1162535</v>
      </c>
      <c r="H90" s="53">
        <f t="shared" si="23"/>
        <v>1133085.79</v>
      </c>
      <c r="I90" s="53">
        <f t="shared" si="23"/>
        <v>481358.20999999996</v>
      </c>
      <c r="J90" s="53">
        <f t="shared" si="23"/>
        <v>87160.44538461539</v>
      </c>
      <c r="K90" s="54">
        <f>SUM(K68:K79)</f>
        <v>12213</v>
      </c>
      <c r="L90" s="54">
        <f>SUM(L68:L79)</f>
        <v>12138</v>
      </c>
      <c r="M90" s="55"/>
    </row>
    <row r="91" spans="1:13" ht="18">
      <c r="A91" s="20" t="s">
        <v>29</v>
      </c>
      <c r="B91" s="8">
        <v>2980512</v>
      </c>
      <c r="C91" s="8">
        <f>C79</f>
        <v>2980512</v>
      </c>
      <c r="D91" s="8">
        <f aca="true" t="shared" si="24" ref="D91:L91">D89+D90</f>
        <v>3173</v>
      </c>
      <c r="E91" s="8">
        <f t="shared" si="24"/>
        <v>2063037.79</v>
      </c>
      <c r="F91" s="8">
        <f t="shared" si="24"/>
        <v>0</v>
      </c>
      <c r="G91" s="8">
        <f t="shared" si="24"/>
        <v>2066210.79</v>
      </c>
      <c r="H91" s="8">
        <f>H74</f>
        <v>2066210.79</v>
      </c>
      <c r="I91" s="8">
        <f>I74</f>
        <v>293361.20999999996</v>
      </c>
      <c r="J91" s="8">
        <f>J74</f>
        <v>108747.93631578947</v>
      </c>
      <c r="K91" s="9">
        <f t="shared" si="24"/>
        <v>36353</v>
      </c>
      <c r="L91" s="9">
        <f t="shared" si="24"/>
        <v>25135</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7"/>
  <headerFooter alignWithMargins="0">
    <oddFooter>&amp;L&amp;F    &amp;A&amp;C&amp;D&amp;T&amp;R&amp;P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102"/>
  <sheetViews>
    <sheetView zoomScale="75" zoomScaleNormal="75" zoomScalePageLayoutView="0" workbookViewId="0" topLeftCell="A1">
      <pane xSplit="1" ySplit="7" topLeftCell="B72" activePane="bottomRight" state="frozen"/>
      <selection pane="topLeft" activeCell="A65" sqref="A65"/>
      <selection pane="topRight" activeCell="A1" sqref="A1"/>
      <selection pane="bottomLeft" activeCell="A1" sqref="A1"/>
      <selection pane="bottomRight" activeCell="N74" sqref="N74"/>
    </sheetView>
  </sheetViews>
  <sheetFormatPr defaultColWidth="6.28125" defaultRowHeight="12.75"/>
  <cols>
    <col min="1" max="1" width="26.57421875" style="0" customWidth="1"/>
    <col min="2" max="12" width="16.421875" style="4" customWidth="1"/>
    <col min="13" max="13" width="9.00390625" style="4" hidden="1" customWidth="1"/>
  </cols>
  <sheetData>
    <row r="1" spans="1:10" ht="18">
      <c r="A1" s="1" t="s">
        <v>0</v>
      </c>
      <c r="B1" s="2"/>
      <c r="C1" s="3"/>
      <c r="D1" s="3"/>
      <c r="E1" s="3"/>
      <c r="F1" s="3"/>
      <c r="G1" s="2"/>
      <c r="H1" s="2"/>
      <c r="I1" s="2"/>
      <c r="J1" s="2"/>
    </row>
    <row r="2" spans="1:2" ht="18">
      <c r="A2" s="5" t="s">
        <v>1</v>
      </c>
      <c r="B2" s="6">
        <v>9</v>
      </c>
    </row>
    <row r="3" spans="2:8" ht="12.75">
      <c r="B3" s="2"/>
      <c r="C3" s="2"/>
      <c r="D3" s="2"/>
      <c r="E3" s="2"/>
      <c r="F3" s="2"/>
      <c r="G3" s="2"/>
      <c r="H3" s="2"/>
    </row>
    <row r="4" spans="2:13" ht="12.75">
      <c r="B4" s="2" t="s">
        <v>2</v>
      </c>
      <c r="C4" s="2" t="s">
        <v>43</v>
      </c>
      <c r="D4" s="4" t="s">
        <v>3</v>
      </c>
      <c r="E4" s="2" t="s">
        <v>4</v>
      </c>
      <c r="F4" s="2" t="s">
        <v>5</v>
      </c>
      <c r="G4" s="2" t="s">
        <v>6</v>
      </c>
      <c r="H4" s="2" t="s">
        <v>43</v>
      </c>
      <c r="I4" s="2" t="s">
        <v>43</v>
      </c>
      <c r="J4" s="2" t="s">
        <v>43</v>
      </c>
      <c r="K4" s="4" t="s">
        <v>7</v>
      </c>
      <c r="L4" s="4" t="s">
        <v>8</v>
      </c>
      <c r="M4" s="4" t="s">
        <v>9</v>
      </c>
    </row>
    <row r="5" spans="2:13" ht="12.75">
      <c r="B5" s="2" t="s">
        <v>10</v>
      </c>
      <c r="C5" s="2" t="s">
        <v>10</v>
      </c>
      <c r="D5" s="2" t="s">
        <v>10</v>
      </c>
      <c r="E5" s="2" t="s">
        <v>10</v>
      </c>
      <c r="F5" s="2" t="s">
        <v>10</v>
      </c>
      <c r="G5" s="2" t="s">
        <v>10</v>
      </c>
      <c r="H5" s="2" t="s">
        <v>10</v>
      </c>
      <c r="I5" s="4" t="s">
        <v>1</v>
      </c>
      <c r="J5" s="4" t="s">
        <v>44</v>
      </c>
      <c r="K5" s="4" t="s">
        <v>11</v>
      </c>
      <c r="L5" s="4" t="s">
        <v>12</v>
      </c>
      <c r="M5" s="4" t="s">
        <v>13</v>
      </c>
    </row>
    <row r="6" spans="2:13" ht="12.75">
      <c r="B6" s="2" t="s">
        <v>14</v>
      </c>
      <c r="C6" s="2" t="s">
        <v>14</v>
      </c>
      <c r="D6" s="2" t="s">
        <v>15</v>
      </c>
      <c r="E6" s="4" t="s">
        <v>16</v>
      </c>
      <c r="F6" s="2" t="s">
        <v>15</v>
      </c>
      <c r="G6" s="2" t="s">
        <v>15</v>
      </c>
      <c r="H6" s="2" t="s">
        <v>15</v>
      </c>
      <c r="I6" s="4" t="s">
        <v>17</v>
      </c>
      <c r="J6" s="2" t="s">
        <v>18</v>
      </c>
      <c r="L6" s="4" t="s">
        <v>19</v>
      </c>
      <c r="M6" s="4" t="s">
        <v>20</v>
      </c>
    </row>
    <row r="7" spans="2:10" ht="12.75">
      <c r="B7" s="2"/>
      <c r="C7" s="2"/>
      <c r="D7" s="2"/>
      <c r="E7" s="2"/>
      <c r="F7" s="2"/>
      <c r="G7" s="2"/>
      <c r="H7" s="2"/>
      <c r="J7" s="2"/>
    </row>
    <row r="8" spans="1:12" ht="15" hidden="1">
      <c r="A8" s="7">
        <v>39264</v>
      </c>
      <c r="B8" s="25">
        <f aca="true" t="shared" si="0" ref="B8:B19">$B$81/12</f>
        <v>14866.333333333334</v>
      </c>
      <c r="C8" s="25">
        <f>B8</f>
        <v>14866.333333333334</v>
      </c>
      <c r="D8" s="25">
        <v>1363</v>
      </c>
      <c r="E8" s="25">
        <v>9222</v>
      </c>
      <c r="F8" s="25"/>
      <c r="G8" s="25">
        <f aca="true" t="shared" si="1" ref="G8:G31">D8+E8</f>
        <v>10585</v>
      </c>
      <c r="H8" s="25">
        <f>G8</f>
        <v>10585</v>
      </c>
      <c r="I8" s="25">
        <f aca="true" t="shared" si="2" ref="I8:I39">C8-H8</f>
        <v>4281.333333333334</v>
      </c>
      <c r="J8" s="25">
        <f>H8</f>
        <v>10585</v>
      </c>
      <c r="K8" s="30">
        <v>73</v>
      </c>
      <c r="L8" s="30">
        <v>88</v>
      </c>
    </row>
    <row r="9" spans="1:12" ht="15" hidden="1">
      <c r="A9" s="7">
        <v>39295</v>
      </c>
      <c r="B9" s="25">
        <f t="shared" si="0"/>
        <v>14866.333333333334</v>
      </c>
      <c r="C9" s="25">
        <f aca="true" t="shared" si="3" ref="C9:C19">C8+B9</f>
        <v>29732.666666666668</v>
      </c>
      <c r="D9" s="25">
        <v>1819</v>
      </c>
      <c r="E9" s="25">
        <v>12525</v>
      </c>
      <c r="F9" s="25"/>
      <c r="G9" s="25">
        <f t="shared" si="1"/>
        <v>14344</v>
      </c>
      <c r="H9" s="25">
        <f aca="true" t="shared" si="4" ref="H9:H19">H8+G9</f>
        <v>24929</v>
      </c>
      <c r="I9" s="25">
        <f t="shared" si="2"/>
        <v>4803.666666666668</v>
      </c>
      <c r="J9" s="25">
        <f>AVERAGE(G8:G9)</f>
        <v>12464.5</v>
      </c>
      <c r="K9" s="30">
        <v>67</v>
      </c>
      <c r="L9" s="30">
        <v>81</v>
      </c>
    </row>
    <row r="10" spans="1:12" ht="15" hidden="1">
      <c r="A10" s="7">
        <v>39326</v>
      </c>
      <c r="B10" s="25">
        <f t="shared" si="0"/>
        <v>14866.333333333334</v>
      </c>
      <c r="C10" s="25">
        <f t="shared" si="3"/>
        <v>44599</v>
      </c>
      <c r="D10" s="25">
        <v>805</v>
      </c>
      <c r="E10" s="25">
        <v>12353</v>
      </c>
      <c r="F10" s="25"/>
      <c r="G10" s="25">
        <f t="shared" si="1"/>
        <v>13158</v>
      </c>
      <c r="H10" s="25">
        <f t="shared" si="4"/>
        <v>38087</v>
      </c>
      <c r="I10" s="25">
        <f t="shared" si="2"/>
        <v>6512</v>
      </c>
      <c r="J10" s="25">
        <f>AVERAGE(G8:G10)</f>
        <v>12695.666666666666</v>
      </c>
      <c r="K10" s="30">
        <v>68</v>
      </c>
      <c r="L10" s="30">
        <v>91</v>
      </c>
    </row>
    <row r="11" spans="1:13" ht="15" hidden="1">
      <c r="A11" s="7">
        <v>39356</v>
      </c>
      <c r="B11" s="25">
        <f t="shared" si="0"/>
        <v>14866.333333333334</v>
      </c>
      <c r="C11" s="25">
        <f t="shared" si="3"/>
        <v>59465.333333333336</v>
      </c>
      <c r="D11" s="25">
        <v>2494</v>
      </c>
      <c r="E11" s="25">
        <v>10147</v>
      </c>
      <c r="F11" s="25"/>
      <c r="G11" s="25">
        <f t="shared" si="1"/>
        <v>12641</v>
      </c>
      <c r="H11" s="25">
        <f t="shared" si="4"/>
        <v>50728</v>
      </c>
      <c r="I11" s="25">
        <f t="shared" si="2"/>
        <v>8737.333333333336</v>
      </c>
      <c r="J11" s="25">
        <f>AVERAGE(G8:G11)</f>
        <v>12682</v>
      </c>
      <c r="K11" s="30">
        <v>65</v>
      </c>
      <c r="L11" s="30">
        <v>86</v>
      </c>
      <c r="M11" s="29">
        <v>1</v>
      </c>
    </row>
    <row r="12" spans="1:13" ht="15" hidden="1">
      <c r="A12" s="7">
        <v>39387</v>
      </c>
      <c r="B12" s="25">
        <f t="shared" si="0"/>
        <v>14866.333333333334</v>
      </c>
      <c r="C12" s="25">
        <f t="shared" si="3"/>
        <v>74331.66666666667</v>
      </c>
      <c r="D12" s="25">
        <v>3556</v>
      </c>
      <c r="E12" s="25">
        <v>9321</v>
      </c>
      <c r="F12" s="25"/>
      <c r="G12" s="25">
        <f t="shared" si="1"/>
        <v>12877</v>
      </c>
      <c r="H12" s="25">
        <f t="shared" si="4"/>
        <v>63605</v>
      </c>
      <c r="I12" s="25">
        <f t="shared" si="2"/>
        <v>10726.666666666672</v>
      </c>
      <c r="J12" s="25">
        <f>AVERAGE(G8:G12)</f>
        <v>12721</v>
      </c>
      <c r="K12" s="30">
        <v>65</v>
      </c>
      <c r="L12" s="30">
        <v>93</v>
      </c>
      <c r="M12" s="29">
        <v>2</v>
      </c>
    </row>
    <row r="13" spans="1:13" ht="15" hidden="1">
      <c r="A13" s="7">
        <v>39417</v>
      </c>
      <c r="B13" s="25">
        <f t="shared" si="0"/>
        <v>14866.333333333334</v>
      </c>
      <c r="C13" s="25">
        <f t="shared" si="3"/>
        <v>89198</v>
      </c>
      <c r="D13" s="25">
        <v>4699</v>
      </c>
      <c r="E13" s="25">
        <v>14865</v>
      </c>
      <c r="F13" s="25"/>
      <c r="G13" s="25">
        <f t="shared" si="1"/>
        <v>19564</v>
      </c>
      <c r="H13" s="25">
        <f t="shared" si="4"/>
        <v>83169</v>
      </c>
      <c r="I13" s="25">
        <f t="shared" si="2"/>
        <v>6029</v>
      </c>
      <c r="J13" s="25">
        <f>AVERAGE(G12:G13)</f>
        <v>16220.5</v>
      </c>
      <c r="K13" s="30">
        <v>67</v>
      </c>
      <c r="L13" s="30">
        <v>97</v>
      </c>
      <c r="M13" s="29">
        <v>7</v>
      </c>
    </row>
    <row r="14" spans="1:13" ht="15" hidden="1">
      <c r="A14" s="7">
        <v>39448</v>
      </c>
      <c r="B14" s="25">
        <f t="shared" si="0"/>
        <v>14866.333333333334</v>
      </c>
      <c r="C14" s="25">
        <f t="shared" si="3"/>
        <v>104064.33333333333</v>
      </c>
      <c r="D14" s="25">
        <v>4686</v>
      </c>
      <c r="E14" s="25">
        <v>9287</v>
      </c>
      <c r="F14" s="25"/>
      <c r="G14" s="25">
        <f t="shared" si="1"/>
        <v>13973</v>
      </c>
      <c r="H14" s="25">
        <f t="shared" si="4"/>
        <v>97142</v>
      </c>
      <c r="I14" s="25">
        <f t="shared" si="2"/>
        <v>6922.3333333333285</v>
      </c>
      <c r="J14" s="25">
        <f>AVERAGE(G12:G14)</f>
        <v>15471.333333333334</v>
      </c>
      <c r="K14" s="30">
        <v>84</v>
      </c>
      <c r="L14" s="30">
        <v>98</v>
      </c>
      <c r="M14" s="29">
        <v>19</v>
      </c>
    </row>
    <row r="15" spans="1:13" ht="15" hidden="1">
      <c r="A15" s="7">
        <v>39479</v>
      </c>
      <c r="B15" s="25">
        <f t="shared" si="0"/>
        <v>14866.333333333334</v>
      </c>
      <c r="C15" s="25">
        <f t="shared" si="3"/>
        <v>118930.66666666666</v>
      </c>
      <c r="D15" s="25">
        <v>3819</v>
      </c>
      <c r="E15" s="25">
        <v>8044</v>
      </c>
      <c r="F15" s="25"/>
      <c r="G15" s="25">
        <f t="shared" si="1"/>
        <v>11863</v>
      </c>
      <c r="H15" s="25">
        <f t="shared" si="4"/>
        <v>109005</v>
      </c>
      <c r="I15" s="25">
        <f t="shared" si="2"/>
        <v>9925.666666666657</v>
      </c>
      <c r="J15" s="25">
        <f>AVERAGE(G12:G15)</f>
        <v>14569.25</v>
      </c>
      <c r="K15" s="30">
        <v>99</v>
      </c>
      <c r="L15" s="30">
        <v>102</v>
      </c>
      <c r="M15" s="29">
        <v>22</v>
      </c>
    </row>
    <row r="16" spans="1:13" ht="15" hidden="1">
      <c r="A16" s="7">
        <v>39508</v>
      </c>
      <c r="B16" s="25">
        <f t="shared" si="0"/>
        <v>14866.333333333334</v>
      </c>
      <c r="C16" s="25">
        <f t="shared" si="3"/>
        <v>133797</v>
      </c>
      <c r="D16" s="25">
        <v>1816</v>
      </c>
      <c r="E16" s="25">
        <v>9158</v>
      </c>
      <c r="F16" s="25"/>
      <c r="G16" s="25">
        <f t="shared" si="1"/>
        <v>10974</v>
      </c>
      <c r="H16" s="25">
        <f t="shared" si="4"/>
        <v>119979</v>
      </c>
      <c r="I16" s="25">
        <f t="shared" si="2"/>
        <v>13818</v>
      </c>
      <c r="J16" s="25">
        <f>AVERAGE(G12:G16)</f>
        <v>13850.2</v>
      </c>
      <c r="K16" s="30">
        <v>96</v>
      </c>
      <c r="L16" s="30">
        <v>99</v>
      </c>
      <c r="M16" s="29">
        <v>23</v>
      </c>
    </row>
    <row r="17" spans="1:13" ht="15" hidden="1">
      <c r="A17" s="7">
        <v>39539</v>
      </c>
      <c r="B17" s="25">
        <f t="shared" si="0"/>
        <v>14866.333333333334</v>
      </c>
      <c r="C17" s="25">
        <f t="shared" si="3"/>
        <v>148663.33333333334</v>
      </c>
      <c r="D17" s="25">
        <v>1294</v>
      </c>
      <c r="E17" s="25">
        <v>6962</v>
      </c>
      <c r="F17" s="25"/>
      <c r="G17" s="25">
        <f t="shared" si="1"/>
        <v>8256</v>
      </c>
      <c r="H17" s="25">
        <f t="shared" si="4"/>
        <v>128235</v>
      </c>
      <c r="I17" s="25">
        <f t="shared" si="2"/>
        <v>20428.333333333343</v>
      </c>
      <c r="J17" s="25">
        <f>AVERAGE(G14:G17)</f>
        <v>11266.5</v>
      </c>
      <c r="K17" s="30">
        <v>91</v>
      </c>
      <c r="L17" s="30">
        <v>118</v>
      </c>
      <c r="M17" s="29">
        <v>33</v>
      </c>
    </row>
    <row r="18" spans="1:13" ht="15" hidden="1">
      <c r="A18" s="7">
        <v>39569</v>
      </c>
      <c r="B18" s="33">
        <f t="shared" si="0"/>
        <v>14866.333333333334</v>
      </c>
      <c r="C18" s="33">
        <f t="shared" si="3"/>
        <v>163529.6666666667</v>
      </c>
      <c r="D18" s="33">
        <v>1731</v>
      </c>
      <c r="E18" s="33">
        <v>10261</v>
      </c>
      <c r="F18" s="33"/>
      <c r="G18" s="25">
        <f t="shared" si="1"/>
        <v>11992</v>
      </c>
      <c r="H18" s="25">
        <f t="shared" si="4"/>
        <v>140227</v>
      </c>
      <c r="I18" s="25">
        <f t="shared" si="2"/>
        <v>23302.666666666686</v>
      </c>
      <c r="J18" s="25">
        <f>AVERAGE(G14:G18)</f>
        <v>11411.6</v>
      </c>
      <c r="K18" s="30">
        <v>106</v>
      </c>
      <c r="L18" s="30">
        <v>129</v>
      </c>
      <c r="M18" s="29">
        <v>38</v>
      </c>
    </row>
    <row r="19" spans="1:13" ht="15.75" hidden="1" thickBot="1">
      <c r="A19" s="7">
        <v>39600</v>
      </c>
      <c r="B19" s="34">
        <f t="shared" si="0"/>
        <v>14866.333333333334</v>
      </c>
      <c r="C19" s="34">
        <f t="shared" si="3"/>
        <v>178396.00000000003</v>
      </c>
      <c r="D19" s="34">
        <v>1250</v>
      </c>
      <c r="E19" s="34">
        <v>11530</v>
      </c>
      <c r="F19" s="34"/>
      <c r="G19" s="34">
        <f t="shared" si="1"/>
        <v>12780</v>
      </c>
      <c r="H19" s="34">
        <f t="shared" si="4"/>
        <v>153007</v>
      </c>
      <c r="I19" s="34">
        <f t="shared" si="2"/>
        <v>25389.00000000003</v>
      </c>
      <c r="J19" s="34">
        <f>AVERAGE(G15:G19)</f>
        <v>11173</v>
      </c>
      <c r="K19" s="35">
        <v>106</v>
      </c>
      <c r="L19" s="35">
        <v>123</v>
      </c>
      <c r="M19" s="36">
        <v>36</v>
      </c>
    </row>
    <row r="20" spans="1:13" ht="15" hidden="1">
      <c r="A20" s="7">
        <v>39630</v>
      </c>
      <c r="B20" s="37">
        <v>14453.4</v>
      </c>
      <c r="C20" s="33">
        <f>B20</f>
        <v>14453.4</v>
      </c>
      <c r="D20" s="33">
        <v>581</v>
      </c>
      <c r="E20" s="33">
        <v>12758</v>
      </c>
      <c r="F20" s="33"/>
      <c r="G20" s="33">
        <f t="shared" si="1"/>
        <v>13339</v>
      </c>
      <c r="H20" s="33">
        <f>G20</f>
        <v>13339</v>
      </c>
      <c r="I20" s="33">
        <f t="shared" si="2"/>
        <v>1114.3999999999996</v>
      </c>
      <c r="J20" s="33">
        <f>H20</f>
        <v>13339</v>
      </c>
      <c r="K20" s="30">
        <v>98</v>
      </c>
      <c r="L20" s="30">
        <v>116</v>
      </c>
      <c r="M20" s="29">
        <v>39</v>
      </c>
    </row>
    <row r="21" spans="1:13" ht="15" hidden="1">
      <c r="A21" s="7">
        <v>39661</v>
      </c>
      <c r="B21" s="37">
        <v>14453.4</v>
      </c>
      <c r="C21" s="33">
        <f aca="true" t="shared" si="5" ref="C21:C31">C20+B21</f>
        <v>28906.8</v>
      </c>
      <c r="D21" s="33">
        <v>1152</v>
      </c>
      <c r="E21" s="33">
        <v>12495</v>
      </c>
      <c r="F21" s="33"/>
      <c r="G21" s="33">
        <f t="shared" si="1"/>
        <v>13647</v>
      </c>
      <c r="H21" s="33">
        <f aca="true" t="shared" si="6" ref="H21:H31">H20+G21</f>
        <v>26986</v>
      </c>
      <c r="I21" s="33">
        <f t="shared" si="2"/>
        <v>1920.7999999999993</v>
      </c>
      <c r="J21" s="33">
        <f>H21/2</f>
        <v>13493</v>
      </c>
      <c r="K21" s="30">
        <v>100</v>
      </c>
      <c r="L21" s="30">
        <v>123</v>
      </c>
      <c r="M21" s="29">
        <v>38</v>
      </c>
    </row>
    <row r="22" spans="1:13" ht="15" hidden="1">
      <c r="A22" s="7">
        <v>39692</v>
      </c>
      <c r="B22" s="37">
        <v>14453.4</v>
      </c>
      <c r="C22" s="33">
        <f t="shared" si="5"/>
        <v>43360.2</v>
      </c>
      <c r="D22" s="33">
        <v>2183</v>
      </c>
      <c r="E22" s="33">
        <v>10193</v>
      </c>
      <c r="F22" s="33"/>
      <c r="G22" s="33">
        <f t="shared" si="1"/>
        <v>12376</v>
      </c>
      <c r="H22" s="33">
        <f t="shared" si="6"/>
        <v>39362</v>
      </c>
      <c r="I22" s="33">
        <f t="shared" si="2"/>
        <v>3998.199999999997</v>
      </c>
      <c r="J22" s="33">
        <f>H22/3</f>
        <v>13120.666666666666</v>
      </c>
      <c r="K22" s="30">
        <v>102</v>
      </c>
      <c r="L22" s="30">
        <v>126</v>
      </c>
      <c r="M22" s="29">
        <v>45</v>
      </c>
    </row>
    <row r="23" spans="1:13" ht="15" hidden="1">
      <c r="A23" s="7">
        <v>39722</v>
      </c>
      <c r="B23" s="37">
        <v>14453.4</v>
      </c>
      <c r="C23" s="33">
        <f t="shared" si="5"/>
        <v>57813.6</v>
      </c>
      <c r="D23" s="33">
        <v>1607</v>
      </c>
      <c r="E23" s="33">
        <v>9916</v>
      </c>
      <c r="F23" s="33"/>
      <c r="G23" s="33">
        <f t="shared" si="1"/>
        <v>11523</v>
      </c>
      <c r="H23" s="33">
        <f t="shared" si="6"/>
        <v>50885</v>
      </c>
      <c r="I23" s="33">
        <f t="shared" si="2"/>
        <v>6928.5999999999985</v>
      </c>
      <c r="J23" s="33">
        <f>H23/4</f>
        <v>12721.25</v>
      </c>
      <c r="K23" s="30">
        <v>107</v>
      </c>
      <c r="L23" s="30">
        <v>120</v>
      </c>
      <c r="M23" s="29">
        <v>41</v>
      </c>
    </row>
    <row r="24" spans="1:13" ht="15" hidden="1">
      <c r="A24" s="7">
        <v>39753</v>
      </c>
      <c r="B24" s="37">
        <v>14453.4</v>
      </c>
      <c r="C24" s="33">
        <f t="shared" si="5"/>
        <v>72267</v>
      </c>
      <c r="D24" s="33">
        <v>1854</v>
      </c>
      <c r="E24" s="33">
        <v>9951</v>
      </c>
      <c r="F24" s="33"/>
      <c r="G24" s="33">
        <f t="shared" si="1"/>
        <v>11805</v>
      </c>
      <c r="H24" s="33">
        <f t="shared" si="6"/>
        <v>62690</v>
      </c>
      <c r="I24" s="33">
        <f t="shared" si="2"/>
        <v>9577</v>
      </c>
      <c r="J24" s="33">
        <f>H24/5</f>
        <v>12538</v>
      </c>
      <c r="K24" s="30">
        <v>115</v>
      </c>
      <c r="L24" s="30">
        <v>137</v>
      </c>
      <c r="M24" s="29">
        <v>44</v>
      </c>
    </row>
    <row r="25" spans="1:13" ht="15" hidden="1">
      <c r="A25" s="7">
        <v>39783</v>
      </c>
      <c r="B25" s="38">
        <v>14476.142857142857</v>
      </c>
      <c r="C25" s="33">
        <f t="shared" si="5"/>
        <v>86743.14285714286</v>
      </c>
      <c r="D25" s="33">
        <v>1971</v>
      </c>
      <c r="E25" s="33">
        <v>15340</v>
      </c>
      <c r="F25" s="33"/>
      <c r="G25" s="33">
        <f t="shared" si="1"/>
        <v>17311</v>
      </c>
      <c r="H25" s="33">
        <f t="shared" si="6"/>
        <v>80001</v>
      </c>
      <c r="I25" s="33">
        <f t="shared" si="2"/>
        <v>6742.142857142855</v>
      </c>
      <c r="J25" s="33">
        <f>H25/6</f>
        <v>13333.5</v>
      </c>
      <c r="K25" s="30">
        <v>120</v>
      </c>
      <c r="L25" s="30">
        <v>121</v>
      </c>
      <c r="M25" s="29">
        <v>41</v>
      </c>
    </row>
    <row r="26" spans="1:13" ht="15" hidden="1">
      <c r="A26" s="7">
        <v>39814</v>
      </c>
      <c r="B26" s="38">
        <v>14476.142857142857</v>
      </c>
      <c r="C26" s="33">
        <f t="shared" si="5"/>
        <v>101219.28571428571</v>
      </c>
      <c r="D26" s="33">
        <v>546</v>
      </c>
      <c r="E26" s="33">
        <v>12711</v>
      </c>
      <c r="F26" s="33"/>
      <c r="G26" s="33">
        <f t="shared" si="1"/>
        <v>13257</v>
      </c>
      <c r="H26" s="33">
        <f t="shared" si="6"/>
        <v>93258</v>
      </c>
      <c r="I26" s="33">
        <f t="shared" si="2"/>
        <v>7961.28571428571</v>
      </c>
      <c r="J26" s="33">
        <f>H26/7</f>
        <v>13322.57142857143</v>
      </c>
      <c r="K26" s="30">
        <v>110</v>
      </c>
      <c r="L26" s="30">
        <v>129</v>
      </c>
      <c r="M26" s="29">
        <v>34</v>
      </c>
    </row>
    <row r="27" spans="1:13" ht="15" hidden="1">
      <c r="A27" s="7">
        <v>39845</v>
      </c>
      <c r="B27" s="38">
        <v>14476.142857142857</v>
      </c>
      <c r="C27" s="33">
        <f t="shared" si="5"/>
        <v>115695.42857142857</v>
      </c>
      <c r="D27" s="33">
        <v>1319</v>
      </c>
      <c r="E27" s="33">
        <v>14052</v>
      </c>
      <c r="F27" s="33"/>
      <c r="G27" s="33">
        <f t="shared" si="1"/>
        <v>15371</v>
      </c>
      <c r="H27" s="33">
        <f t="shared" si="6"/>
        <v>108629</v>
      </c>
      <c r="I27" s="33">
        <f t="shared" si="2"/>
        <v>7066.428571428565</v>
      </c>
      <c r="J27" s="33">
        <f>H27/8</f>
        <v>13578.625</v>
      </c>
      <c r="K27" s="30">
        <v>111</v>
      </c>
      <c r="L27" s="30">
        <v>125</v>
      </c>
      <c r="M27" s="29">
        <v>28</v>
      </c>
    </row>
    <row r="28" spans="1:13" ht="15" hidden="1">
      <c r="A28" s="7">
        <v>39873</v>
      </c>
      <c r="B28" s="38">
        <v>14476.142857142857</v>
      </c>
      <c r="C28" s="33">
        <f t="shared" si="5"/>
        <v>130171.57142857142</v>
      </c>
      <c r="D28" s="33">
        <v>50</v>
      </c>
      <c r="E28" s="33">
        <v>14053</v>
      </c>
      <c r="F28" s="33"/>
      <c r="G28" s="33">
        <f t="shared" si="1"/>
        <v>14103</v>
      </c>
      <c r="H28" s="33">
        <f t="shared" si="6"/>
        <v>122732</v>
      </c>
      <c r="I28" s="33">
        <f t="shared" si="2"/>
        <v>7439.57142857142</v>
      </c>
      <c r="J28" s="33">
        <f>H28/9</f>
        <v>13636.888888888889</v>
      </c>
      <c r="K28" s="30">
        <v>108</v>
      </c>
      <c r="L28" s="30">
        <v>128</v>
      </c>
      <c r="M28" s="4">
        <v>24</v>
      </c>
    </row>
    <row r="29" spans="1:13" ht="15" hidden="1">
      <c r="A29" s="7">
        <v>39904</v>
      </c>
      <c r="B29" s="38">
        <v>14476.142857142857</v>
      </c>
      <c r="C29" s="33">
        <f t="shared" si="5"/>
        <v>144647.7142857143</v>
      </c>
      <c r="D29" s="33">
        <v>1344</v>
      </c>
      <c r="E29" s="33">
        <v>12993</v>
      </c>
      <c r="F29" s="33"/>
      <c r="G29" s="33">
        <f t="shared" si="1"/>
        <v>14337</v>
      </c>
      <c r="H29" s="33">
        <f t="shared" si="6"/>
        <v>137069</v>
      </c>
      <c r="I29" s="33">
        <f t="shared" si="2"/>
        <v>7578.71428571429</v>
      </c>
      <c r="J29" s="33">
        <f>H29/10</f>
        <v>13706.9</v>
      </c>
      <c r="K29" s="30">
        <v>103</v>
      </c>
      <c r="L29" s="30">
        <v>137</v>
      </c>
      <c r="M29" s="4">
        <v>25</v>
      </c>
    </row>
    <row r="30" spans="1:13" ht="15" hidden="1">
      <c r="A30" s="7">
        <v>39934</v>
      </c>
      <c r="B30" s="38">
        <v>14476.142857142857</v>
      </c>
      <c r="C30" s="33">
        <f t="shared" si="5"/>
        <v>159123.85714285716</v>
      </c>
      <c r="D30" s="33">
        <v>1227</v>
      </c>
      <c r="E30" s="33">
        <v>13402</v>
      </c>
      <c r="F30" s="33"/>
      <c r="G30" s="33">
        <f t="shared" si="1"/>
        <v>14629</v>
      </c>
      <c r="H30" s="33">
        <f t="shared" si="6"/>
        <v>151698</v>
      </c>
      <c r="I30" s="33">
        <f t="shared" si="2"/>
        <v>7425.8571428571595</v>
      </c>
      <c r="J30" s="33">
        <f>H30/11</f>
        <v>13790.727272727272</v>
      </c>
      <c r="K30" s="30">
        <v>111</v>
      </c>
      <c r="L30" s="30">
        <v>135</v>
      </c>
      <c r="M30" s="4">
        <v>26</v>
      </c>
    </row>
    <row r="31" spans="1:13" ht="15.75" hidden="1" thickBot="1">
      <c r="A31" s="7">
        <v>39965</v>
      </c>
      <c r="B31" s="39">
        <v>14476.142857142857</v>
      </c>
      <c r="C31" s="34">
        <f t="shared" si="5"/>
        <v>173600.00000000003</v>
      </c>
      <c r="D31" s="34">
        <v>30</v>
      </c>
      <c r="E31" s="34">
        <v>15644</v>
      </c>
      <c r="F31" s="34"/>
      <c r="G31" s="34">
        <f t="shared" si="1"/>
        <v>15674</v>
      </c>
      <c r="H31" s="34">
        <f t="shared" si="6"/>
        <v>167372</v>
      </c>
      <c r="I31" s="34">
        <f t="shared" si="2"/>
        <v>6228.000000000029</v>
      </c>
      <c r="J31" s="34">
        <f>H31/12</f>
        <v>13947.666666666666</v>
      </c>
      <c r="K31" s="40">
        <v>118</v>
      </c>
      <c r="L31" s="40">
        <v>140</v>
      </c>
      <c r="M31" s="41">
        <v>37</v>
      </c>
    </row>
    <row r="32" spans="1:13" ht="18" hidden="1">
      <c r="A32" s="7">
        <v>40725</v>
      </c>
      <c r="B32" s="37">
        <f aca="true" t="shared" si="7" ref="B32:B43">$B$85/12</f>
        <v>3413.8333333333335</v>
      </c>
      <c r="C32" s="33">
        <f>B32</f>
        <v>3413.8333333333335</v>
      </c>
      <c r="D32" s="33">
        <v>0</v>
      </c>
      <c r="E32" s="33">
        <v>390</v>
      </c>
      <c r="F32" s="33">
        <v>0</v>
      </c>
      <c r="G32" s="33">
        <f>D32+E32+F32</f>
        <v>390</v>
      </c>
      <c r="H32" s="33">
        <f>G32</f>
        <v>390</v>
      </c>
      <c r="I32" s="33">
        <f t="shared" si="2"/>
        <v>3023.8333333333335</v>
      </c>
      <c r="J32" s="11">
        <f>H32</f>
        <v>390</v>
      </c>
      <c r="K32" s="42">
        <v>134</v>
      </c>
      <c r="L32" s="42">
        <v>42</v>
      </c>
      <c r="M32" s="43">
        <v>25</v>
      </c>
    </row>
    <row r="33" spans="1:13" ht="18" hidden="1">
      <c r="A33" s="7">
        <v>40756</v>
      </c>
      <c r="B33" s="37">
        <f t="shared" si="7"/>
        <v>3413.8333333333335</v>
      </c>
      <c r="C33" s="33">
        <f aca="true" t="shared" si="8" ref="C33:C43">C32+B33</f>
        <v>6827.666666666667</v>
      </c>
      <c r="D33" s="33">
        <v>0</v>
      </c>
      <c r="E33" s="33">
        <f>1715+77+60</f>
        <v>1852</v>
      </c>
      <c r="F33" s="33">
        <v>0</v>
      </c>
      <c r="G33" s="33">
        <f>D33+E33</f>
        <v>1852</v>
      </c>
      <c r="H33" s="33">
        <f aca="true" t="shared" si="9" ref="H33:H43">H32+G33</f>
        <v>2242</v>
      </c>
      <c r="I33" s="33">
        <f t="shared" si="2"/>
        <v>4585.666666666667</v>
      </c>
      <c r="J33" s="11">
        <f>H33/2</f>
        <v>1121</v>
      </c>
      <c r="K33" s="42">
        <v>127</v>
      </c>
      <c r="L33" s="42">
        <v>53</v>
      </c>
      <c r="M33" s="43">
        <v>24</v>
      </c>
    </row>
    <row r="34" spans="1:13" ht="18" hidden="1">
      <c r="A34" s="7">
        <v>40787</v>
      </c>
      <c r="B34" s="37">
        <f t="shared" si="7"/>
        <v>3413.8333333333335</v>
      </c>
      <c r="C34" s="33">
        <f t="shared" si="8"/>
        <v>10241.5</v>
      </c>
      <c r="D34" s="33">
        <v>0</v>
      </c>
      <c r="E34" s="33">
        <v>572</v>
      </c>
      <c r="F34" s="33">
        <v>0</v>
      </c>
      <c r="G34" s="33">
        <f aca="true" t="shared" si="10" ref="G34:G74">D34+E34+F34</f>
        <v>572</v>
      </c>
      <c r="H34" s="33">
        <f t="shared" si="9"/>
        <v>2814</v>
      </c>
      <c r="I34" s="33">
        <f t="shared" si="2"/>
        <v>7427.5</v>
      </c>
      <c r="J34" s="11">
        <f>H34/3</f>
        <v>938</v>
      </c>
      <c r="K34" s="42">
        <v>149</v>
      </c>
      <c r="L34" s="42">
        <v>52</v>
      </c>
      <c r="M34" s="43">
        <v>21</v>
      </c>
    </row>
    <row r="35" spans="1:13" ht="18" hidden="1">
      <c r="A35" s="7">
        <v>40817</v>
      </c>
      <c r="B35" s="37">
        <f t="shared" si="7"/>
        <v>3413.8333333333335</v>
      </c>
      <c r="C35" s="33">
        <f t="shared" si="8"/>
        <v>13655.333333333334</v>
      </c>
      <c r="D35" s="33">
        <v>0</v>
      </c>
      <c r="E35" s="33">
        <v>480</v>
      </c>
      <c r="F35" s="33">
        <v>0</v>
      </c>
      <c r="G35" s="33">
        <f t="shared" si="10"/>
        <v>480</v>
      </c>
      <c r="H35" s="33">
        <f t="shared" si="9"/>
        <v>3294</v>
      </c>
      <c r="I35" s="33">
        <f t="shared" si="2"/>
        <v>10361.333333333334</v>
      </c>
      <c r="J35" s="11">
        <f>H35/4</f>
        <v>823.5</v>
      </c>
      <c r="K35" s="42">
        <v>239</v>
      </c>
      <c r="L35" s="42">
        <v>61</v>
      </c>
      <c r="M35" s="43">
        <v>20</v>
      </c>
    </row>
    <row r="36" spans="1:13" ht="18" hidden="1">
      <c r="A36" s="7">
        <v>40848</v>
      </c>
      <c r="B36" s="37">
        <f t="shared" si="7"/>
        <v>3413.8333333333335</v>
      </c>
      <c r="C36" s="33">
        <f t="shared" si="8"/>
        <v>17069.166666666668</v>
      </c>
      <c r="D36" s="33">
        <v>0</v>
      </c>
      <c r="E36" s="33">
        <v>350</v>
      </c>
      <c r="F36" s="33">
        <v>0</v>
      </c>
      <c r="G36" s="33">
        <f t="shared" si="10"/>
        <v>350</v>
      </c>
      <c r="H36" s="33">
        <f t="shared" si="9"/>
        <v>3644</v>
      </c>
      <c r="I36" s="33">
        <f t="shared" si="2"/>
        <v>13425.166666666668</v>
      </c>
      <c r="J36" s="11">
        <f>H36/5</f>
        <v>728.8</v>
      </c>
      <c r="K36" s="42">
        <v>229</v>
      </c>
      <c r="L36" s="42">
        <v>61</v>
      </c>
      <c r="M36" s="43">
        <v>21</v>
      </c>
    </row>
    <row r="37" spans="1:13" ht="18" hidden="1">
      <c r="A37" s="7">
        <v>40878</v>
      </c>
      <c r="B37" s="37">
        <f t="shared" si="7"/>
        <v>3413.8333333333335</v>
      </c>
      <c r="C37" s="33">
        <f t="shared" si="8"/>
        <v>20483</v>
      </c>
      <c r="D37" s="33">
        <v>0</v>
      </c>
      <c r="E37" s="33">
        <v>743</v>
      </c>
      <c r="F37" s="33">
        <v>0</v>
      </c>
      <c r="G37" s="33">
        <f t="shared" si="10"/>
        <v>743</v>
      </c>
      <c r="H37" s="33">
        <f t="shared" si="9"/>
        <v>4387</v>
      </c>
      <c r="I37" s="33">
        <f t="shared" si="2"/>
        <v>16096</v>
      </c>
      <c r="J37" s="11">
        <f>H37/6</f>
        <v>731.1666666666666</v>
      </c>
      <c r="K37" s="42">
        <v>244</v>
      </c>
      <c r="L37" s="42">
        <v>47</v>
      </c>
      <c r="M37" s="43">
        <v>21</v>
      </c>
    </row>
    <row r="38" spans="1:13" ht="18" hidden="1">
      <c r="A38" s="7">
        <v>40909</v>
      </c>
      <c r="B38" s="37">
        <f t="shared" si="7"/>
        <v>3413.8333333333335</v>
      </c>
      <c r="C38" s="33">
        <f t="shared" si="8"/>
        <v>23896.833333333332</v>
      </c>
      <c r="D38" s="33">
        <v>0</v>
      </c>
      <c r="E38" s="33">
        <v>805</v>
      </c>
      <c r="F38" s="33">
        <v>0</v>
      </c>
      <c r="G38" s="33">
        <f t="shared" si="10"/>
        <v>805</v>
      </c>
      <c r="H38" s="33">
        <f t="shared" si="9"/>
        <v>5192</v>
      </c>
      <c r="I38" s="33">
        <f t="shared" si="2"/>
        <v>18704.833333333332</v>
      </c>
      <c r="J38" s="11">
        <f>H38/7</f>
        <v>741.7142857142857</v>
      </c>
      <c r="K38" s="42">
        <v>178</v>
      </c>
      <c r="L38" s="42">
        <v>62</v>
      </c>
      <c r="M38" s="43">
        <v>24</v>
      </c>
    </row>
    <row r="39" spans="1:13" ht="18" hidden="1">
      <c r="A39" s="7">
        <v>40940</v>
      </c>
      <c r="B39" s="37">
        <f t="shared" si="7"/>
        <v>3413.8333333333335</v>
      </c>
      <c r="C39" s="33">
        <f t="shared" si="8"/>
        <v>27310.666666666664</v>
      </c>
      <c r="D39" s="33">
        <v>0</v>
      </c>
      <c r="E39" s="33">
        <v>673</v>
      </c>
      <c r="F39" s="33">
        <v>0</v>
      </c>
      <c r="G39" s="33">
        <f t="shared" si="10"/>
        <v>673</v>
      </c>
      <c r="H39" s="33">
        <f t="shared" si="9"/>
        <v>5865</v>
      </c>
      <c r="I39" s="33">
        <f t="shared" si="2"/>
        <v>21445.666666666664</v>
      </c>
      <c r="J39" s="11">
        <f>H39/8</f>
        <v>733.125</v>
      </c>
      <c r="K39" s="42">
        <v>167</v>
      </c>
      <c r="L39" s="42">
        <v>57</v>
      </c>
      <c r="M39" s="43">
        <v>22</v>
      </c>
    </row>
    <row r="40" spans="1:13" ht="18" hidden="1">
      <c r="A40" s="7">
        <v>40969</v>
      </c>
      <c r="B40" s="37">
        <f t="shared" si="7"/>
        <v>3413.8333333333335</v>
      </c>
      <c r="C40" s="33">
        <f t="shared" si="8"/>
        <v>30724.499999999996</v>
      </c>
      <c r="D40" s="33">
        <v>0</v>
      </c>
      <c r="E40" s="33">
        <v>1217</v>
      </c>
      <c r="F40" s="33">
        <v>0</v>
      </c>
      <c r="G40" s="33">
        <f t="shared" si="10"/>
        <v>1217</v>
      </c>
      <c r="H40" s="33">
        <f t="shared" si="9"/>
        <v>7082</v>
      </c>
      <c r="I40" s="33">
        <f aca="true" t="shared" si="11" ref="I40:I59">C40-H40</f>
        <v>23642.499999999996</v>
      </c>
      <c r="J40" s="11">
        <f>H40/9</f>
        <v>786.8888888888889</v>
      </c>
      <c r="K40" s="42">
        <v>156</v>
      </c>
      <c r="L40" s="42">
        <v>60</v>
      </c>
      <c r="M40" s="43">
        <v>21</v>
      </c>
    </row>
    <row r="41" spans="1:13" ht="18" hidden="1">
      <c r="A41" s="7">
        <v>41000</v>
      </c>
      <c r="B41" s="37">
        <f t="shared" si="7"/>
        <v>3413.8333333333335</v>
      </c>
      <c r="C41" s="33">
        <f t="shared" si="8"/>
        <v>34138.33333333333</v>
      </c>
      <c r="D41" s="33">
        <v>0</v>
      </c>
      <c r="E41" s="33">
        <v>1502</v>
      </c>
      <c r="F41" s="33">
        <v>0</v>
      </c>
      <c r="G41" s="33">
        <f t="shared" si="10"/>
        <v>1502</v>
      </c>
      <c r="H41" s="33">
        <f t="shared" si="9"/>
        <v>8584</v>
      </c>
      <c r="I41" s="33">
        <f t="shared" si="11"/>
        <v>25554.33333333333</v>
      </c>
      <c r="J41" s="11">
        <f>H41/10</f>
        <v>858.4</v>
      </c>
      <c r="K41" s="42">
        <v>168</v>
      </c>
      <c r="L41" s="42">
        <v>49</v>
      </c>
      <c r="M41" s="43">
        <v>4</v>
      </c>
    </row>
    <row r="42" spans="1:13" ht="18" hidden="1">
      <c r="A42" s="7">
        <v>41030</v>
      </c>
      <c r="B42" s="37">
        <f t="shared" si="7"/>
        <v>3413.8333333333335</v>
      </c>
      <c r="C42" s="33">
        <f t="shared" si="8"/>
        <v>37552.166666666664</v>
      </c>
      <c r="D42" s="33">
        <v>0</v>
      </c>
      <c r="E42" s="33">
        <v>1504</v>
      </c>
      <c r="F42" s="33">
        <v>0</v>
      </c>
      <c r="G42" s="33">
        <f t="shared" si="10"/>
        <v>1504</v>
      </c>
      <c r="H42" s="33">
        <f t="shared" si="9"/>
        <v>10088</v>
      </c>
      <c r="I42" s="33">
        <f t="shared" si="11"/>
        <v>27464.166666666664</v>
      </c>
      <c r="J42" s="11">
        <f>H42/11</f>
        <v>917.0909090909091</v>
      </c>
      <c r="K42" s="42">
        <v>131</v>
      </c>
      <c r="L42" s="42">
        <v>34</v>
      </c>
      <c r="M42" s="43">
        <v>0</v>
      </c>
    </row>
    <row r="43" spans="1:13" ht="18.75" hidden="1" thickBot="1">
      <c r="A43" s="7">
        <v>41061</v>
      </c>
      <c r="B43" s="39">
        <f t="shared" si="7"/>
        <v>3413.8333333333335</v>
      </c>
      <c r="C43" s="34">
        <f t="shared" si="8"/>
        <v>40966</v>
      </c>
      <c r="D43" s="34">
        <v>0</v>
      </c>
      <c r="E43" s="34">
        <v>1259</v>
      </c>
      <c r="F43" s="34">
        <v>0</v>
      </c>
      <c r="G43" s="34">
        <f t="shared" si="10"/>
        <v>1259</v>
      </c>
      <c r="H43" s="34">
        <f t="shared" si="9"/>
        <v>11347</v>
      </c>
      <c r="I43" s="34">
        <f t="shared" si="11"/>
        <v>29619</v>
      </c>
      <c r="J43" s="12">
        <f>H43/12</f>
        <v>945.5833333333334</v>
      </c>
      <c r="K43" s="40">
        <v>139</v>
      </c>
      <c r="L43" s="40">
        <v>30</v>
      </c>
      <c r="M43" s="41">
        <v>0</v>
      </c>
    </row>
    <row r="44" spans="1:13" ht="15" hidden="1">
      <c r="A44" s="7">
        <v>41091</v>
      </c>
      <c r="B44" s="37">
        <f aca="true" t="shared" si="12" ref="B44:B55">$B$86/12</f>
        <v>3000</v>
      </c>
      <c r="C44" s="33">
        <f>B44</f>
        <v>3000</v>
      </c>
      <c r="D44" s="33">
        <v>0</v>
      </c>
      <c r="E44" s="33">
        <v>747</v>
      </c>
      <c r="F44" s="33">
        <v>0</v>
      </c>
      <c r="G44" s="33">
        <f t="shared" si="10"/>
        <v>747</v>
      </c>
      <c r="H44" s="33">
        <f>G44</f>
        <v>747</v>
      </c>
      <c r="I44" s="33">
        <f t="shared" si="11"/>
        <v>2253</v>
      </c>
      <c r="J44" s="33">
        <f>H44/1</f>
        <v>747</v>
      </c>
      <c r="K44" s="42">
        <v>131</v>
      </c>
      <c r="L44" s="42">
        <v>31</v>
      </c>
      <c r="M44" s="43"/>
    </row>
    <row r="45" spans="1:13" ht="15" hidden="1">
      <c r="A45" s="7">
        <v>41122</v>
      </c>
      <c r="B45" s="37">
        <f t="shared" si="12"/>
        <v>3000</v>
      </c>
      <c r="C45" s="33">
        <f aca="true" t="shared" si="13" ref="C45:C55">C44+B45</f>
        <v>6000</v>
      </c>
      <c r="D45" s="33">
        <v>0</v>
      </c>
      <c r="E45" s="33">
        <v>1772</v>
      </c>
      <c r="F45" s="33">
        <v>0</v>
      </c>
      <c r="G45" s="33">
        <f t="shared" si="10"/>
        <v>1772</v>
      </c>
      <c r="H45" s="33">
        <f aca="true" t="shared" si="14" ref="H45:H55">H44+G45</f>
        <v>2519</v>
      </c>
      <c r="I45" s="33">
        <f t="shared" si="11"/>
        <v>3481</v>
      </c>
      <c r="J45" s="33">
        <f>H45/2</f>
        <v>1259.5</v>
      </c>
      <c r="K45" s="42">
        <v>133</v>
      </c>
      <c r="L45" s="42">
        <v>33</v>
      </c>
      <c r="M45" s="43"/>
    </row>
    <row r="46" spans="1:13" ht="15" hidden="1">
      <c r="A46" s="7">
        <v>41153</v>
      </c>
      <c r="B46" s="37">
        <f t="shared" si="12"/>
        <v>3000</v>
      </c>
      <c r="C46" s="33">
        <f t="shared" si="13"/>
        <v>9000</v>
      </c>
      <c r="D46" s="33">
        <v>0</v>
      </c>
      <c r="E46" s="33">
        <v>2196</v>
      </c>
      <c r="F46" s="33">
        <v>0</v>
      </c>
      <c r="G46" s="33">
        <f t="shared" si="10"/>
        <v>2196</v>
      </c>
      <c r="H46" s="33">
        <f t="shared" si="14"/>
        <v>4715</v>
      </c>
      <c r="I46" s="33">
        <f t="shared" si="11"/>
        <v>4285</v>
      </c>
      <c r="J46" s="33">
        <f>H46/3</f>
        <v>1571.6666666666667</v>
      </c>
      <c r="K46" s="42">
        <v>133</v>
      </c>
      <c r="L46" s="42">
        <v>33</v>
      </c>
      <c r="M46" s="43"/>
    </row>
    <row r="47" spans="1:13" ht="15" hidden="1">
      <c r="A47" s="7">
        <v>41183</v>
      </c>
      <c r="B47" s="37">
        <f t="shared" si="12"/>
        <v>3000</v>
      </c>
      <c r="C47" s="33">
        <f t="shared" si="13"/>
        <v>12000</v>
      </c>
      <c r="D47" s="33">
        <v>0</v>
      </c>
      <c r="E47" s="33">
        <v>2179</v>
      </c>
      <c r="F47" s="33">
        <v>0</v>
      </c>
      <c r="G47" s="33">
        <f t="shared" si="10"/>
        <v>2179</v>
      </c>
      <c r="H47" s="33">
        <f t="shared" si="14"/>
        <v>6894</v>
      </c>
      <c r="I47" s="33">
        <f t="shared" si="11"/>
        <v>5106</v>
      </c>
      <c r="J47" s="33">
        <f>H47/4</f>
        <v>1723.5</v>
      </c>
      <c r="K47" s="42">
        <v>156</v>
      </c>
      <c r="L47" s="42">
        <v>49</v>
      </c>
      <c r="M47" s="43"/>
    </row>
    <row r="48" spans="1:13" ht="15" hidden="1">
      <c r="A48" s="7">
        <v>41214</v>
      </c>
      <c r="B48" s="37">
        <f t="shared" si="12"/>
        <v>3000</v>
      </c>
      <c r="C48" s="33">
        <f t="shared" si="13"/>
        <v>15000</v>
      </c>
      <c r="D48" s="33">
        <v>0</v>
      </c>
      <c r="E48" s="33">
        <v>763</v>
      </c>
      <c r="F48" s="33">
        <v>0</v>
      </c>
      <c r="G48" s="33">
        <f t="shared" si="10"/>
        <v>763</v>
      </c>
      <c r="H48" s="33">
        <f t="shared" si="14"/>
        <v>7657</v>
      </c>
      <c r="I48" s="33">
        <f t="shared" si="11"/>
        <v>7343</v>
      </c>
      <c r="J48" s="33">
        <f>H48/5</f>
        <v>1531.4</v>
      </c>
      <c r="K48" s="42">
        <v>139</v>
      </c>
      <c r="L48" s="42">
        <v>30</v>
      </c>
      <c r="M48" s="43"/>
    </row>
    <row r="49" spans="1:13" ht="15" hidden="1">
      <c r="A49" s="7">
        <v>41244</v>
      </c>
      <c r="B49" s="37">
        <f t="shared" si="12"/>
        <v>3000</v>
      </c>
      <c r="C49" s="33">
        <f t="shared" si="13"/>
        <v>18000</v>
      </c>
      <c r="D49" s="33">
        <v>0</v>
      </c>
      <c r="E49" s="33">
        <v>577</v>
      </c>
      <c r="F49" s="33">
        <v>0</v>
      </c>
      <c r="G49" s="33">
        <f t="shared" si="10"/>
        <v>577</v>
      </c>
      <c r="H49" s="33">
        <f t="shared" si="14"/>
        <v>8234</v>
      </c>
      <c r="I49" s="33">
        <f t="shared" si="11"/>
        <v>9766</v>
      </c>
      <c r="J49" s="33">
        <f>H49/6</f>
        <v>1372.3333333333333</v>
      </c>
      <c r="K49" s="42"/>
      <c r="L49" s="42"/>
      <c r="M49" s="43"/>
    </row>
    <row r="50" spans="1:13" ht="15" hidden="1">
      <c r="A50" s="7">
        <v>41275</v>
      </c>
      <c r="B50" s="37">
        <f t="shared" si="12"/>
        <v>3000</v>
      </c>
      <c r="C50" s="33">
        <f t="shared" si="13"/>
        <v>21000</v>
      </c>
      <c r="D50" s="33">
        <v>0</v>
      </c>
      <c r="E50" s="33">
        <v>799</v>
      </c>
      <c r="F50" s="33">
        <v>0</v>
      </c>
      <c r="G50" s="33">
        <f t="shared" si="10"/>
        <v>799</v>
      </c>
      <c r="H50" s="33">
        <f t="shared" si="14"/>
        <v>9033</v>
      </c>
      <c r="I50" s="33">
        <f t="shared" si="11"/>
        <v>11967</v>
      </c>
      <c r="J50" s="33">
        <f>H50/7</f>
        <v>1290.4285714285713</v>
      </c>
      <c r="K50" s="42"/>
      <c r="L50" s="42"/>
      <c r="M50" s="43"/>
    </row>
    <row r="51" spans="1:13" ht="15" hidden="1">
      <c r="A51" s="7">
        <v>41306</v>
      </c>
      <c r="B51" s="37">
        <f t="shared" si="12"/>
        <v>3000</v>
      </c>
      <c r="C51" s="33">
        <f t="shared" si="13"/>
        <v>24000</v>
      </c>
      <c r="D51" s="33">
        <v>0</v>
      </c>
      <c r="E51" s="33">
        <v>1618</v>
      </c>
      <c r="F51" s="33">
        <v>0</v>
      </c>
      <c r="G51" s="33">
        <f t="shared" si="10"/>
        <v>1618</v>
      </c>
      <c r="H51" s="33">
        <f t="shared" si="14"/>
        <v>10651</v>
      </c>
      <c r="I51" s="33">
        <f t="shared" si="11"/>
        <v>13349</v>
      </c>
      <c r="J51" s="33">
        <f>H51/8</f>
        <v>1331.375</v>
      </c>
      <c r="K51" s="42"/>
      <c r="L51" s="42"/>
      <c r="M51" s="43"/>
    </row>
    <row r="52" spans="1:13" ht="15" hidden="1">
      <c r="A52" s="7">
        <v>41334</v>
      </c>
      <c r="B52" s="37">
        <f t="shared" si="12"/>
        <v>3000</v>
      </c>
      <c r="C52" s="33">
        <f t="shared" si="13"/>
        <v>27000</v>
      </c>
      <c r="D52" s="33">
        <v>0</v>
      </c>
      <c r="E52" s="33">
        <v>1528</v>
      </c>
      <c r="F52" s="33">
        <v>0</v>
      </c>
      <c r="G52" s="33">
        <f t="shared" si="10"/>
        <v>1528</v>
      </c>
      <c r="H52" s="33">
        <f t="shared" si="14"/>
        <v>12179</v>
      </c>
      <c r="I52" s="33">
        <f t="shared" si="11"/>
        <v>14821</v>
      </c>
      <c r="J52" s="33">
        <f>H52/9</f>
        <v>1353.2222222222222</v>
      </c>
      <c r="K52" s="42"/>
      <c r="L52" s="42"/>
      <c r="M52" s="43"/>
    </row>
    <row r="53" spans="1:13" ht="15" hidden="1">
      <c r="A53" s="7">
        <v>41365</v>
      </c>
      <c r="B53" s="37">
        <f t="shared" si="12"/>
        <v>3000</v>
      </c>
      <c r="C53" s="33">
        <f t="shared" si="13"/>
        <v>30000</v>
      </c>
      <c r="D53" s="33">
        <v>0</v>
      </c>
      <c r="E53" s="33">
        <v>3155</v>
      </c>
      <c r="F53" s="33">
        <v>0</v>
      </c>
      <c r="G53" s="33">
        <f t="shared" si="10"/>
        <v>3155</v>
      </c>
      <c r="H53" s="33">
        <f t="shared" si="14"/>
        <v>15334</v>
      </c>
      <c r="I53" s="33">
        <f t="shared" si="11"/>
        <v>14666</v>
      </c>
      <c r="J53" s="33">
        <f>H53/10</f>
        <v>1533.4</v>
      </c>
      <c r="K53" s="42"/>
      <c r="L53" s="42"/>
      <c r="M53" s="43"/>
    </row>
    <row r="54" spans="1:13" ht="15" hidden="1">
      <c r="A54" s="7">
        <v>41395</v>
      </c>
      <c r="B54" s="37">
        <f t="shared" si="12"/>
        <v>3000</v>
      </c>
      <c r="C54" s="33">
        <f t="shared" si="13"/>
        <v>33000</v>
      </c>
      <c r="D54" s="33">
        <v>0</v>
      </c>
      <c r="E54" s="33">
        <v>2356</v>
      </c>
      <c r="F54" s="33">
        <v>0</v>
      </c>
      <c r="G54" s="33">
        <f t="shared" si="10"/>
        <v>2356</v>
      </c>
      <c r="H54" s="33">
        <f t="shared" si="14"/>
        <v>17690</v>
      </c>
      <c r="I54" s="33">
        <f t="shared" si="11"/>
        <v>15310</v>
      </c>
      <c r="J54" s="33">
        <f>H54/11</f>
        <v>1608.1818181818182</v>
      </c>
      <c r="K54" s="42"/>
      <c r="L54" s="42"/>
      <c r="M54" s="43"/>
    </row>
    <row r="55" spans="1:13" ht="15.75" hidden="1" thickBot="1">
      <c r="A55" s="7">
        <v>41426</v>
      </c>
      <c r="B55" s="39">
        <f t="shared" si="12"/>
        <v>3000</v>
      </c>
      <c r="C55" s="34">
        <f t="shared" si="13"/>
        <v>36000</v>
      </c>
      <c r="D55" s="34">
        <v>0</v>
      </c>
      <c r="E55" s="34">
        <v>1467</v>
      </c>
      <c r="F55" s="34">
        <v>0</v>
      </c>
      <c r="G55" s="34">
        <f t="shared" si="10"/>
        <v>1467</v>
      </c>
      <c r="H55" s="34">
        <f t="shared" si="14"/>
        <v>19157</v>
      </c>
      <c r="I55" s="34">
        <f t="shared" si="11"/>
        <v>16843</v>
      </c>
      <c r="J55" s="34">
        <f>H55/12</f>
        <v>1596.4166666666667</v>
      </c>
      <c r="K55" s="40"/>
      <c r="L55" s="40"/>
      <c r="M55" s="41"/>
    </row>
    <row r="56" spans="1:13" ht="15" hidden="1">
      <c r="A56" s="7">
        <v>41456</v>
      </c>
      <c r="B56" s="37">
        <f>$B$91/24</f>
        <v>4075.75</v>
      </c>
      <c r="C56" s="33">
        <f>B56</f>
        <v>4075.75</v>
      </c>
      <c r="D56" s="33">
        <v>0</v>
      </c>
      <c r="E56" s="33">
        <v>3222</v>
      </c>
      <c r="F56" s="33">
        <v>0</v>
      </c>
      <c r="G56" s="33">
        <f t="shared" si="10"/>
        <v>3222</v>
      </c>
      <c r="H56" s="33">
        <f>G56</f>
        <v>3222</v>
      </c>
      <c r="I56" s="33">
        <f t="shared" si="11"/>
        <v>853.75</v>
      </c>
      <c r="J56" s="33">
        <f>H56</f>
        <v>3222</v>
      </c>
      <c r="K56" s="42">
        <v>101</v>
      </c>
      <c r="L56" s="42">
        <v>44</v>
      </c>
      <c r="M56" s="43"/>
    </row>
    <row r="57" spans="1:13" ht="15" hidden="1">
      <c r="A57" s="7">
        <v>41487</v>
      </c>
      <c r="B57" s="37">
        <f aca="true" t="shared" si="15" ref="B57:B79">$B$91/24</f>
        <v>4075.75</v>
      </c>
      <c r="C57" s="33">
        <f aca="true" t="shared" si="16" ref="C57:C79">C56+B57</f>
        <v>8151.5</v>
      </c>
      <c r="D57" s="33">
        <v>0</v>
      </c>
      <c r="E57" s="33">
        <v>3239</v>
      </c>
      <c r="F57" s="33">
        <v>0</v>
      </c>
      <c r="G57" s="33">
        <f t="shared" si="10"/>
        <v>3239</v>
      </c>
      <c r="H57" s="33">
        <f aca="true" t="shared" si="17" ref="H57:H62">G57+H56</f>
        <v>6461</v>
      </c>
      <c r="I57" s="33">
        <f t="shared" si="11"/>
        <v>1690.5</v>
      </c>
      <c r="J57" s="33">
        <f>H57/2</f>
        <v>3230.5</v>
      </c>
      <c r="K57" s="42">
        <v>111</v>
      </c>
      <c r="L57" s="42">
        <v>51</v>
      </c>
      <c r="M57" s="43"/>
    </row>
    <row r="58" spans="1:13" ht="15" hidden="1">
      <c r="A58" s="7">
        <v>41518</v>
      </c>
      <c r="B58" s="37">
        <f t="shared" si="15"/>
        <v>4075.75</v>
      </c>
      <c r="C58" s="33">
        <f t="shared" si="16"/>
        <v>12227.25</v>
      </c>
      <c r="D58" s="33">
        <v>0</v>
      </c>
      <c r="E58" s="33">
        <v>2846</v>
      </c>
      <c r="F58" s="33">
        <v>0</v>
      </c>
      <c r="G58" s="33">
        <f t="shared" si="10"/>
        <v>2846</v>
      </c>
      <c r="H58" s="33">
        <f t="shared" si="17"/>
        <v>9307</v>
      </c>
      <c r="I58" s="33">
        <f t="shared" si="11"/>
        <v>2920.25</v>
      </c>
      <c r="J58" s="33">
        <f>H58/3</f>
        <v>3102.3333333333335</v>
      </c>
      <c r="K58" s="42">
        <v>111</v>
      </c>
      <c r="L58" s="42">
        <v>28</v>
      </c>
      <c r="M58" s="43"/>
    </row>
    <row r="59" spans="1:13" ht="15" hidden="1">
      <c r="A59" s="7">
        <v>41548</v>
      </c>
      <c r="B59" s="37">
        <f t="shared" si="15"/>
        <v>4075.75</v>
      </c>
      <c r="C59" s="33">
        <f t="shared" si="16"/>
        <v>16303</v>
      </c>
      <c r="D59" s="33">
        <v>0</v>
      </c>
      <c r="E59" s="33">
        <v>6388.8</v>
      </c>
      <c r="F59" s="33">
        <v>0</v>
      </c>
      <c r="G59" s="33">
        <f t="shared" si="10"/>
        <v>6388.8</v>
      </c>
      <c r="H59" s="33">
        <f t="shared" si="17"/>
        <v>15695.8</v>
      </c>
      <c r="I59" s="33">
        <f t="shared" si="11"/>
        <v>607.2000000000007</v>
      </c>
      <c r="J59" s="33">
        <f>H59/4</f>
        <v>3923.95</v>
      </c>
      <c r="K59" s="42">
        <v>100</v>
      </c>
      <c r="L59" s="42">
        <v>49</v>
      </c>
      <c r="M59" s="43"/>
    </row>
    <row r="60" spans="1:13" ht="15" hidden="1">
      <c r="A60" s="7">
        <v>41579</v>
      </c>
      <c r="B60" s="37">
        <f t="shared" si="15"/>
        <v>4075.75</v>
      </c>
      <c r="C60" s="33">
        <f t="shared" si="16"/>
        <v>20378.75</v>
      </c>
      <c r="D60" s="33">
        <v>0</v>
      </c>
      <c r="E60" s="33">
        <v>4773.82</v>
      </c>
      <c r="F60" s="33">
        <v>0</v>
      </c>
      <c r="G60" s="33">
        <f t="shared" si="10"/>
        <v>4773.82</v>
      </c>
      <c r="H60" s="33">
        <f t="shared" si="17"/>
        <v>20469.62</v>
      </c>
      <c r="I60" s="33">
        <f aca="true" t="shared" si="18" ref="I60:I65">C60-H60</f>
        <v>-90.86999999999898</v>
      </c>
      <c r="J60" s="33">
        <f>H60/5</f>
        <v>4093.924</v>
      </c>
      <c r="K60" s="42">
        <v>93</v>
      </c>
      <c r="L60" s="42">
        <v>66</v>
      </c>
      <c r="M60" s="43"/>
    </row>
    <row r="61" spans="1:13" ht="15" hidden="1">
      <c r="A61" s="7">
        <v>41609</v>
      </c>
      <c r="B61" s="37">
        <f t="shared" si="15"/>
        <v>4075.75</v>
      </c>
      <c r="C61" s="33">
        <f t="shared" si="16"/>
        <v>24454.5</v>
      </c>
      <c r="D61" s="33">
        <v>0</v>
      </c>
      <c r="E61" s="33">
        <v>4404.85</v>
      </c>
      <c r="F61" s="33">
        <v>0</v>
      </c>
      <c r="G61" s="33">
        <f t="shared" si="10"/>
        <v>4404.85</v>
      </c>
      <c r="H61" s="33">
        <f t="shared" si="17"/>
        <v>24874.47</v>
      </c>
      <c r="I61" s="33">
        <f t="shared" si="18"/>
        <v>-419.97000000000116</v>
      </c>
      <c r="J61" s="33">
        <f>H61/6</f>
        <v>4145.745</v>
      </c>
      <c r="K61" s="42">
        <v>96</v>
      </c>
      <c r="L61" s="42">
        <v>52</v>
      </c>
      <c r="M61" s="43"/>
    </row>
    <row r="62" spans="1:13" ht="15" hidden="1">
      <c r="A62" s="7">
        <v>41640</v>
      </c>
      <c r="B62" s="37">
        <f t="shared" si="15"/>
        <v>4075.75</v>
      </c>
      <c r="C62" s="33">
        <f t="shared" si="16"/>
        <v>28530.25</v>
      </c>
      <c r="D62" s="33">
        <v>0</v>
      </c>
      <c r="E62" s="33">
        <v>4464.41</v>
      </c>
      <c r="F62" s="33">
        <v>0</v>
      </c>
      <c r="G62" s="33">
        <f t="shared" si="10"/>
        <v>4464.41</v>
      </c>
      <c r="H62" s="33">
        <f t="shared" si="17"/>
        <v>29338.88</v>
      </c>
      <c r="I62" s="33">
        <f t="shared" si="18"/>
        <v>-808.630000000001</v>
      </c>
      <c r="J62" s="33">
        <f>H62/7</f>
        <v>4191.268571428572</v>
      </c>
      <c r="K62" s="42">
        <v>85</v>
      </c>
      <c r="L62" s="42">
        <v>69</v>
      </c>
      <c r="M62" s="43"/>
    </row>
    <row r="63" spans="1:13" ht="15" hidden="1">
      <c r="A63" s="7">
        <v>41671</v>
      </c>
      <c r="B63" s="37">
        <f t="shared" si="15"/>
        <v>4075.75</v>
      </c>
      <c r="C63" s="33">
        <f t="shared" si="16"/>
        <v>32606</v>
      </c>
      <c r="D63" s="33">
        <v>0</v>
      </c>
      <c r="E63" s="33">
        <v>4997.56</v>
      </c>
      <c r="F63" s="33">
        <v>0</v>
      </c>
      <c r="G63" s="33">
        <f t="shared" si="10"/>
        <v>4997.56</v>
      </c>
      <c r="H63" s="33">
        <f aca="true" t="shared" si="19" ref="H63:H68">G63+H62</f>
        <v>34336.44</v>
      </c>
      <c r="I63" s="33">
        <f t="shared" si="18"/>
        <v>-1730.4400000000023</v>
      </c>
      <c r="J63" s="33">
        <f>H63/8</f>
        <v>4292.055</v>
      </c>
      <c r="K63" s="42">
        <v>88</v>
      </c>
      <c r="L63" s="42">
        <v>58</v>
      </c>
      <c r="M63" s="43"/>
    </row>
    <row r="64" spans="1:13" ht="15" hidden="1">
      <c r="A64" s="7">
        <v>41699</v>
      </c>
      <c r="B64" s="37">
        <f t="shared" si="15"/>
        <v>4075.75</v>
      </c>
      <c r="C64" s="33">
        <f t="shared" si="16"/>
        <v>36681.75</v>
      </c>
      <c r="D64" s="33">
        <v>0</v>
      </c>
      <c r="E64" s="33">
        <v>2105.32</v>
      </c>
      <c r="F64" s="33">
        <v>0</v>
      </c>
      <c r="G64" s="33">
        <f t="shared" si="10"/>
        <v>2105.32</v>
      </c>
      <c r="H64" s="33">
        <f t="shared" si="19"/>
        <v>36441.76</v>
      </c>
      <c r="I64" s="33">
        <f t="shared" si="18"/>
        <v>239.98999999999796</v>
      </c>
      <c r="J64" s="33">
        <f>H64/9</f>
        <v>4049.0844444444447</v>
      </c>
      <c r="K64" s="42">
        <v>88</v>
      </c>
      <c r="L64" s="42">
        <v>66</v>
      </c>
      <c r="M64" s="43"/>
    </row>
    <row r="65" spans="1:13" ht="15" hidden="1">
      <c r="A65" s="7">
        <v>41730</v>
      </c>
      <c r="B65" s="37">
        <f t="shared" si="15"/>
        <v>4075.75</v>
      </c>
      <c r="C65" s="33">
        <f t="shared" si="16"/>
        <v>40757.5</v>
      </c>
      <c r="D65" s="33">
        <v>0</v>
      </c>
      <c r="E65" s="33">
        <v>2282</v>
      </c>
      <c r="F65" s="33">
        <v>0</v>
      </c>
      <c r="G65" s="33">
        <f t="shared" si="10"/>
        <v>2282</v>
      </c>
      <c r="H65" s="33">
        <f t="shared" si="19"/>
        <v>38723.76</v>
      </c>
      <c r="I65" s="33">
        <f t="shared" si="18"/>
        <v>2033.739999999998</v>
      </c>
      <c r="J65" s="33">
        <f>H65/10</f>
        <v>3872.376</v>
      </c>
      <c r="K65" s="42">
        <v>93</v>
      </c>
      <c r="L65" s="42">
        <v>54</v>
      </c>
      <c r="M65" s="43"/>
    </row>
    <row r="66" spans="1:13" ht="15" hidden="1">
      <c r="A66" s="7">
        <v>41760</v>
      </c>
      <c r="B66" s="37">
        <f t="shared" si="15"/>
        <v>4075.75</v>
      </c>
      <c r="C66" s="33">
        <f t="shared" si="16"/>
        <v>44833.25</v>
      </c>
      <c r="D66" s="33">
        <v>0</v>
      </c>
      <c r="E66" s="33">
        <v>1241.49</v>
      </c>
      <c r="F66" s="33">
        <v>0</v>
      </c>
      <c r="G66" s="33">
        <f t="shared" si="10"/>
        <v>1241.49</v>
      </c>
      <c r="H66" s="33">
        <f t="shared" si="19"/>
        <v>39965.25</v>
      </c>
      <c r="I66" s="33">
        <f aca="true" t="shared" si="20" ref="I66:I71">C66-H66</f>
        <v>4868</v>
      </c>
      <c r="J66" s="33">
        <f>H66/11</f>
        <v>3633.2045454545455</v>
      </c>
      <c r="K66" s="42">
        <v>94</v>
      </c>
      <c r="L66" s="42">
        <v>59</v>
      </c>
      <c r="M66" s="43"/>
    </row>
    <row r="67" spans="1:13" ht="15" hidden="1">
      <c r="A67" s="7">
        <v>41791</v>
      </c>
      <c r="B67" s="37">
        <f t="shared" si="15"/>
        <v>4075.75</v>
      </c>
      <c r="C67" s="33">
        <f t="shared" si="16"/>
        <v>48909</v>
      </c>
      <c r="D67" s="33">
        <v>0</v>
      </c>
      <c r="E67" s="33">
        <v>798</v>
      </c>
      <c r="F67" s="33">
        <v>0</v>
      </c>
      <c r="G67" s="33">
        <f t="shared" si="10"/>
        <v>798</v>
      </c>
      <c r="H67" s="33">
        <f t="shared" si="19"/>
        <v>40763.25</v>
      </c>
      <c r="I67" s="33">
        <f t="shared" si="20"/>
        <v>8145.75</v>
      </c>
      <c r="J67" s="33">
        <f>H67/12</f>
        <v>3396.9375</v>
      </c>
      <c r="K67" s="42">
        <v>93</v>
      </c>
      <c r="L67" s="42">
        <v>45</v>
      </c>
      <c r="M67" s="43"/>
    </row>
    <row r="68" spans="1:13" ht="15">
      <c r="A68" s="7">
        <v>41821</v>
      </c>
      <c r="B68" s="37">
        <f t="shared" si="15"/>
        <v>4075.75</v>
      </c>
      <c r="C68" s="33">
        <f t="shared" si="16"/>
        <v>52984.75</v>
      </c>
      <c r="D68" s="33">
        <v>0</v>
      </c>
      <c r="E68" s="33">
        <v>585</v>
      </c>
      <c r="F68" s="33">
        <v>0</v>
      </c>
      <c r="G68" s="33">
        <f t="shared" si="10"/>
        <v>585</v>
      </c>
      <c r="H68" s="33">
        <f t="shared" si="19"/>
        <v>41348.25</v>
      </c>
      <c r="I68" s="33">
        <f t="shared" si="20"/>
        <v>11636.5</v>
      </c>
      <c r="J68" s="33">
        <f>H68/13</f>
        <v>3180.6346153846152</v>
      </c>
      <c r="K68" s="42">
        <v>80</v>
      </c>
      <c r="L68" s="42">
        <v>53</v>
      </c>
      <c r="M68" s="43"/>
    </row>
    <row r="69" spans="1:13" ht="15">
      <c r="A69" s="7">
        <v>41852</v>
      </c>
      <c r="B69" s="37">
        <f t="shared" si="15"/>
        <v>4075.75</v>
      </c>
      <c r="C69" s="33">
        <f t="shared" si="16"/>
        <v>57060.5</v>
      </c>
      <c r="D69" s="33">
        <v>0</v>
      </c>
      <c r="E69" s="33">
        <v>725</v>
      </c>
      <c r="F69" s="33">
        <v>0</v>
      </c>
      <c r="G69" s="33">
        <f t="shared" si="10"/>
        <v>725</v>
      </c>
      <c r="H69" s="33">
        <f aca="true" t="shared" si="21" ref="H69:H74">G69+H68</f>
        <v>42073.25</v>
      </c>
      <c r="I69" s="33">
        <f t="shared" si="20"/>
        <v>14987.25</v>
      </c>
      <c r="J69" s="33">
        <f>H69/14</f>
        <v>3005.2321428571427</v>
      </c>
      <c r="K69" s="42">
        <v>82</v>
      </c>
      <c r="L69" s="42">
        <v>56</v>
      </c>
      <c r="M69" s="43"/>
    </row>
    <row r="70" spans="1:13" ht="15">
      <c r="A70" s="7">
        <v>41883</v>
      </c>
      <c r="B70" s="37">
        <f t="shared" si="15"/>
        <v>4075.75</v>
      </c>
      <c r="C70" s="33">
        <f t="shared" si="16"/>
        <v>61136.25</v>
      </c>
      <c r="D70" s="33">
        <v>0</v>
      </c>
      <c r="E70" s="33">
        <v>1594</v>
      </c>
      <c r="F70" s="33">
        <v>0</v>
      </c>
      <c r="G70" s="33">
        <f t="shared" si="10"/>
        <v>1594</v>
      </c>
      <c r="H70" s="33">
        <f t="shared" si="21"/>
        <v>43667.25</v>
      </c>
      <c r="I70" s="33">
        <f t="shared" si="20"/>
        <v>17469</v>
      </c>
      <c r="J70" s="33">
        <f>H70/15</f>
        <v>2911.15</v>
      </c>
      <c r="K70" s="42">
        <v>70</v>
      </c>
      <c r="L70" s="42">
        <v>56</v>
      </c>
      <c r="M70" s="43"/>
    </row>
    <row r="71" spans="1:13" ht="15">
      <c r="A71" s="7">
        <v>41913</v>
      </c>
      <c r="B71" s="37">
        <f t="shared" si="15"/>
        <v>4075.75</v>
      </c>
      <c r="C71" s="33">
        <f t="shared" si="16"/>
        <v>65212</v>
      </c>
      <c r="D71" s="33">
        <v>0</v>
      </c>
      <c r="E71" s="33">
        <v>3489</v>
      </c>
      <c r="F71" s="33">
        <v>0</v>
      </c>
      <c r="G71" s="33">
        <f t="shared" si="10"/>
        <v>3489</v>
      </c>
      <c r="H71" s="33">
        <f t="shared" si="21"/>
        <v>47156.25</v>
      </c>
      <c r="I71" s="33">
        <f t="shared" si="20"/>
        <v>18055.75</v>
      </c>
      <c r="J71" s="33">
        <f>H71/16</f>
        <v>2947.265625</v>
      </c>
      <c r="K71" s="42">
        <v>83</v>
      </c>
      <c r="L71" s="42">
        <v>54</v>
      </c>
      <c r="M71" s="43"/>
    </row>
    <row r="72" spans="1:13" ht="15">
      <c r="A72" s="7">
        <v>41944</v>
      </c>
      <c r="B72" s="37">
        <f t="shared" si="15"/>
        <v>4075.75</v>
      </c>
      <c r="C72" s="33">
        <f t="shared" si="16"/>
        <v>69287.75</v>
      </c>
      <c r="D72" s="33">
        <v>0</v>
      </c>
      <c r="E72" s="33">
        <v>1326</v>
      </c>
      <c r="F72" s="33">
        <v>0</v>
      </c>
      <c r="G72" s="33">
        <f t="shared" si="10"/>
        <v>1326</v>
      </c>
      <c r="H72" s="33">
        <f t="shared" si="21"/>
        <v>48482.25</v>
      </c>
      <c r="I72" s="33">
        <f>C72-H72</f>
        <v>20805.5</v>
      </c>
      <c r="J72" s="33">
        <f>H72/17</f>
        <v>2851.8970588235293</v>
      </c>
      <c r="K72" s="42">
        <v>74</v>
      </c>
      <c r="L72" s="42">
        <v>57</v>
      </c>
      <c r="M72" s="43"/>
    </row>
    <row r="73" spans="1:13" ht="15">
      <c r="A73" s="7">
        <v>41974</v>
      </c>
      <c r="B73" s="37">
        <f t="shared" si="15"/>
        <v>4075.75</v>
      </c>
      <c r="C73" s="33">
        <f t="shared" si="16"/>
        <v>73363.5</v>
      </c>
      <c r="D73" s="33">
        <v>0</v>
      </c>
      <c r="E73" s="33">
        <v>1532</v>
      </c>
      <c r="F73" s="33">
        <v>0</v>
      </c>
      <c r="G73" s="33">
        <f t="shared" si="10"/>
        <v>1532</v>
      </c>
      <c r="H73" s="33">
        <f t="shared" si="21"/>
        <v>50014.25</v>
      </c>
      <c r="I73" s="33">
        <f>C73-H73</f>
        <v>23349.25</v>
      </c>
      <c r="J73" s="33">
        <f>H73/18</f>
        <v>2778.5694444444443</v>
      </c>
      <c r="K73" s="42">
        <v>75</v>
      </c>
      <c r="L73" s="42">
        <v>57</v>
      </c>
      <c r="M73" s="43"/>
    </row>
    <row r="74" spans="1:13" ht="15">
      <c r="A74" s="7">
        <v>42005</v>
      </c>
      <c r="B74" s="37">
        <f t="shared" si="15"/>
        <v>4075.75</v>
      </c>
      <c r="C74" s="33">
        <f t="shared" si="16"/>
        <v>77439.25</v>
      </c>
      <c r="D74" s="33">
        <v>0</v>
      </c>
      <c r="E74" s="33">
        <v>2464</v>
      </c>
      <c r="F74" s="33">
        <v>0</v>
      </c>
      <c r="G74" s="33">
        <f t="shared" si="10"/>
        <v>2464</v>
      </c>
      <c r="H74" s="33">
        <f t="shared" si="21"/>
        <v>52478.25</v>
      </c>
      <c r="I74" s="33">
        <f>C74-H74</f>
        <v>24961</v>
      </c>
      <c r="J74" s="33">
        <f>H74/19</f>
        <v>2762.0131578947367</v>
      </c>
      <c r="K74" s="42">
        <v>74</v>
      </c>
      <c r="L74" s="42">
        <v>61</v>
      </c>
      <c r="M74" s="43"/>
    </row>
    <row r="75" spans="1:13" ht="15">
      <c r="A75" s="7">
        <v>42036</v>
      </c>
      <c r="B75" s="37">
        <f t="shared" si="15"/>
        <v>4075.75</v>
      </c>
      <c r="C75" s="33">
        <f t="shared" si="16"/>
        <v>81515</v>
      </c>
      <c r="D75" s="33"/>
      <c r="E75" s="33"/>
      <c r="F75" s="33"/>
      <c r="G75" s="33"/>
      <c r="H75" s="33"/>
      <c r="I75" s="33"/>
      <c r="J75" s="33"/>
      <c r="K75" s="42"/>
      <c r="L75" s="42"/>
      <c r="M75" s="43"/>
    </row>
    <row r="76" spans="1:13" ht="15">
      <c r="A76" s="7">
        <v>42064</v>
      </c>
      <c r="B76" s="37">
        <f t="shared" si="15"/>
        <v>4075.75</v>
      </c>
      <c r="C76" s="33">
        <f t="shared" si="16"/>
        <v>85590.75</v>
      </c>
      <c r="D76" s="33"/>
      <c r="E76" s="33"/>
      <c r="F76" s="33"/>
      <c r="G76" s="33"/>
      <c r="H76" s="33"/>
      <c r="I76" s="33"/>
      <c r="J76" s="33"/>
      <c r="K76" s="42"/>
      <c r="L76" s="42"/>
      <c r="M76" s="43"/>
    </row>
    <row r="77" spans="1:13" ht="15">
      <c r="A77" s="7">
        <v>42095</v>
      </c>
      <c r="B77" s="37">
        <f t="shared" si="15"/>
        <v>4075.75</v>
      </c>
      <c r="C77" s="33">
        <f t="shared" si="16"/>
        <v>89666.5</v>
      </c>
      <c r="D77" s="33"/>
      <c r="E77" s="33"/>
      <c r="F77" s="33"/>
      <c r="G77" s="33"/>
      <c r="H77" s="33"/>
      <c r="I77" s="33"/>
      <c r="J77" s="33"/>
      <c r="K77" s="42"/>
      <c r="L77" s="42"/>
      <c r="M77" s="43"/>
    </row>
    <row r="78" spans="1:13" ht="15">
      <c r="A78" s="7">
        <v>42125</v>
      </c>
      <c r="B78" s="37">
        <f t="shared" si="15"/>
        <v>4075.75</v>
      </c>
      <c r="C78" s="33">
        <f t="shared" si="16"/>
        <v>93742.25</v>
      </c>
      <c r="D78" s="33"/>
      <c r="E78" s="33"/>
      <c r="F78" s="33"/>
      <c r="G78" s="33"/>
      <c r="H78" s="33"/>
      <c r="I78" s="33"/>
      <c r="J78" s="33"/>
      <c r="K78" s="42"/>
      <c r="L78" s="42"/>
      <c r="M78" s="43"/>
    </row>
    <row r="79" spans="1:13" ht="15">
      <c r="A79" s="7">
        <v>42156</v>
      </c>
      <c r="B79" s="37">
        <f t="shared" si="15"/>
        <v>4075.75</v>
      </c>
      <c r="C79" s="33">
        <f t="shared" si="16"/>
        <v>97818</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21</v>
      </c>
      <c r="B81" s="25">
        <v>178396</v>
      </c>
      <c r="C81" s="25">
        <f>SUM(B8:B19)</f>
        <v>178396.00000000003</v>
      </c>
      <c r="D81" s="25">
        <f>SUM(D8:D19)</f>
        <v>29332</v>
      </c>
      <c r="E81" s="25">
        <f>SUM(E8:E19)</f>
        <v>123675</v>
      </c>
      <c r="F81" s="25"/>
      <c r="G81" s="25">
        <f>SUM(G8:G19)</f>
        <v>153007</v>
      </c>
      <c r="H81" s="25">
        <f>G81</f>
        <v>153007</v>
      </c>
      <c r="I81" s="25">
        <f>I19</f>
        <v>25389.00000000003</v>
      </c>
      <c r="J81" s="25">
        <f>J19</f>
        <v>11173</v>
      </c>
      <c r="K81" s="30">
        <f>SUM(K8:K19)</f>
        <v>987</v>
      </c>
      <c r="L81" s="30">
        <f>SUM(L8:L19)</f>
        <v>1205</v>
      </c>
      <c r="M81" s="30">
        <f>SUM(M8:M19)</f>
        <v>181</v>
      </c>
    </row>
    <row r="82" spans="1:13" ht="15" hidden="1">
      <c r="A82" s="20" t="s">
        <v>22</v>
      </c>
      <c r="B82" s="25">
        <v>173600</v>
      </c>
      <c r="C82" s="25">
        <f>C31</f>
        <v>173600.00000000003</v>
      </c>
      <c r="D82" s="25">
        <f>SUM(D20:D31)</f>
        <v>13864</v>
      </c>
      <c r="E82" s="25">
        <f>SUM(E20:E31)</f>
        <v>153508</v>
      </c>
      <c r="F82" s="25"/>
      <c r="G82" s="25">
        <f>SUM(G20:G31)</f>
        <v>167372</v>
      </c>
      <c r="H82" s="25">
        <f>G82</f>
        <v>167372</v>
      </c>
      <c r="I82" s="25">
        <f>I31</f>
        <v>6228.000000000029</v>
      </c>
      <c r="J82" s="25">
        <f>AVERAGE(G20:G31)</f>
        <v>13947.666666666666</v>
      </c>
      <c r="K82" s="30">
        <f>SUM(K20:K31)</f>
        <v>1303</v>
      </c>
      <c r="L82" s="30">
        <f>SUM(L20:L31)</f>
        <v>1537</v>
      </c>
      <c r="M82" s="30">
        <f>SUM(M20:M31)</f>
        <v>422</v>
      </c>
    </row>
    <row r="83" spans="1:13" ht="15" hidden="1">
      <c r="A83" s="20" t="s">
        <v>23</v>
      </c>
      <c r="B83" s="25">
        <f>SUM(B81:B82)</f>
        <v>351996</v>
      </c>
      <c r="C83" s="25">
        <f>SUM(C81:C82)</f>
        <v>351996.00000000006</v>
      </c>
      <c r="D83" s="25">
        <f>D81+D82</f>
        <v>43196</v>
      </c>
      <c r="E83" s="25">
        <f>E81+E82</f>
        <v>277183</v>
      </c>
      <c r="F83" s="25"/>
      <c r="G83" s="25">
        <f>G81+G82</f>
        <v>320379</v>
      </c>
      <c r="H83" s="25">
        <f>H81+H82</f>
        <v>320379</v>
      </c>
      <c r="I83" s="25"/>
      <c r="J83" s="25">
        <f>AVERAGE(G8:G31)</f>
        <v>13349.125</v>
      </c>
      <c r="K83" s="27">
        <f>SUM(K81:K82)</f>
        <v>2290</v>
      </c>
      <c r="L83" s="27">
        <f>SUM(L81:L82)</f>
        <v>2742</v>
      </c>
      <c r="M83" s="27">
        <f>SUM(M81:M82)</f>
        <v>603</v>
      </c>
    </row>
    <row r="84" spans="1:12" ht="15" hidden="1">
      <c r="A84" s="20"/>
      <c r="B84" s="25"/>
      <c r="C84" s="25"/>
      <c r="D84" s="25"/>
      <c r="E84" s="25"/>
      <c r="F84" s="25"/>
      <c r="G84" s="25"/>
      <c r="H84" s="25"/>
      <c r="I84" s="25"/>
      <c r="J84" s="25"/>
      <c r="K84" s="27"/>
      <c r="L84" s="27"/>
    </row>
    <row r="85" spans="1:13" ht="15" hidden="1">
      <c r="A85" s="20" t="s">
        <v>24</v>
      </c>
      <c r="B85" s="25">
        <v>40966</v>
      </c>
      <c r="C85" s="25">
        <f>C43</f>
        <v>40966</v>
      </c>
      <c r="D85" s="25">
        <f>SUM(D32:D43)</f>
        <v>0</v>
      </c>
      <c r="E85" s="25">
        <f>SUM(E32:E43)</f>
        <v>11347</v>
      </c>
      <c r="F85" s="25">
        <f>SUM(F32:F74)</f>
        <v>0</v>
      </c>
      <c r="G85" s="25">
        <f>SUM(G32:G43)</f>
        <v>11347</v>
      </c>
      <c r="H85" s="25">
        <f>G85</f>
        <v>11347</v>
      </c>
      <c r="I85" s="25">
        <f>I43</f>
        <v>29619</v>
      </c>
      <c r="J85" s="25">
        <f>AVERAGE(G32:G43)</f>
        <v>945.5833333333334</v>
      </c>
      <c r="K85" s="30">
        <f>SUM(K32:K43)</f>
        <v>2061</v>
      </c>
      <c r="L85" s="30">
        <f>SUM(L32:L43)</f>
        <v>608</v>
      </c>
      <c r="M85" s="4">
        <f>SUM(M32:M43)</f>
        <v>203</v>
      </c>
    </row>
    <row r="86" spans="1:13" ht="15" hidden="1">
      <c r="A86" s="20" t="s">
        <v>25</v>
      </c>
      <c r="B86" s="25">
        <v>36000</v>
      </c>
      <c r="C86" s="25">
        <f>SUM(B44:B55)</f>
        <v>36000</v>
      </c>
      <c r="D86" s="25">
        <f>SUM(D44:D55)</f>
        <v>0</v>
      </c>
      <c r="E86" s="25">
        <f>SUM(E44:E55)</f>
        <v>19157</v>
      </c>
      <c r="F86" s="25">
        <f>SUM(F44:F55)</f>
        <v>0</v>
      </c>
      <c r="G86" s="25">
        <f>SUM(G44:G55)</f>
        <v>19157</v>
      </c>
      <c r="H86" s="25">
        <f>G86</f>
        <v>19157</v>
      </c>
      <c r="I86" s="25">
        <f>I55</f>
        <v>16843</v>
      </c>
      <c r="J86" s="25">
        <f>J55</f>
        <v>1596.4166666666667</v>
      </c>
      <c r="K86" s="30">
        <f>SUM(K44:K55)</f>
        <v>692</v>
      </c>
      <c r="L86" s="30">
        <f>SUM(L44:L55)</f>
        <v>176</v>
      </c>
      <c r="M86" s="44">
        <f>SUM(M44:M55)</f>
        <v>0</v>
      </c>
    </row>
    <row r="87" spans="1:13" ht="15" hidden="1">
      <c r="A87" s="20" t="s">
        <v>26</v>
      </c>
      <c r="B87" s="25">
        <f>B85+B86</f>
        <v>76966</v>
      </c>
      <c r="C87" s="25">
        <f aca="true" t="shared" si="22" ref="C87:M87">SUM(C85:C86)</f>
        <v>76966</v>
      </c>
      <c r="D87" s="25">
        <f t="shared" si="22"/>
        <v>0</v>
      </c>
      <c r="E87" s="25">
        <f t="shared" si="22"/>
        <v>30504</v>
      </c>
      <c r="F87" s="25">
        <f t="shared" si="22"/>
        <v>0</v>
      </c>
      <c r="G87" s="25">
        <f t="shared" si="22"/>
        <v>30504</v>
      </c>
      <c r="H87" s="25">
        <f t="shared" si="22"/>
        <v>30504</v>
      </c>
      <c r="I87" s="25">
        <f t="shared" si="22"/>
        <v>46462</v>
      </c>
      <c r="J87" s="25">
        <f t="shared" si="22"/>
        <v>2542</v>
      </c>
      <c r="K87" s="27">
        <f t="shared" si="22"/>
        <v>2753</v>
      </c>
      <c r="L87" s="27">
        <f t="shared" si="22"/>
        <v>784</v>
      </c>
      <c r="M87" s="27">
        <f t="shared" si="22"/>
        <v>203</v>
      </c>
    </row>
    <row r="88" spans="1:13" ht="15" hidden="1">
      <c r="A88" s="20"/>
      <c r="B88" s="25"/>
      <c r="C88" s="25"/>
      <c r="D88" s="25"/>
      <c r="E88" s="25"/>
      <c r="F88" s="25"/>
      <c r="G88" s="25"/>
      <c r="H88" s="25"/>
      <c r="I88" s="25"/>
      <c r="J88" s="25"/>
      <c r="K88" s="27"/>
      <c r="L88" s="27"/>
      <c r="M88" s="27"/>
    </row>
    <row r="89" spans="1:13" s="56" customFormat="1" ht="18" hidden="1">
      <c r="A89" s="52" t="s">
        <v>27</v>
      </c>
      <c r="B89" s="53">
        <f>117818/2</f>
        <v>58909</v>
      </c>
      <c r="C89" s="53">
        <f>C67</f>
        <v>48909</v>
      </c>
      <c r="D89" s="53">
        <f>SUM(D56:D67)</f>
        <v>0</v>
      </c>
      <c r="E89" s="53">
        <f>SUM(E56:E67)</f>
        <v>40763.25</v>
      </c>
      <c r="F89" s="53">
        <f>SUM(F56:F67)</f>
        <v>0</v>
      </c>
      <c r="G89" s="53">
        <f>SUM(G56:G67)</f>
        <v>40763.25</v>
      </c>
      <c r="H89" s="53">
        <f>H67</f>
        <v>40763.25</v>
      </c>
      <c r="I89" s="53">
        <f>I67</f>
        <v>8145.75</v>
      </c>
      <c r="J89" s="53">
        <f>J67</f>
        <v>3396.9375</v>
      </c>
      <c r="K89" s="54">
        <f>SUM(K56:K67)</f>
        <v>1153</v>
      </c>
      <c r="L89" s="54">
        <f>SUM(L56:L67)</f>
        <v>641</v>
      </c>
      <c r="M89" s="55"/>
    </row>
    <row r="90" spans="1:13" s="56" customFormat="1" ht="18" hidden="1">
      <c r="A90" s="52" t="s">
        <v>28</v>
      </c>
      <c r="B90" s="53">
        <f>117818/2</f>
        <v>58909</v>
      </c>
      <c r="C90" s="53">
        <v>58909.00000000001</v>
      </c>
      <c r="D90" s="53">
        <f>SUM(D68:D79)</f>
        <v>0</v>
      </c>
      <c r="E90" s="53">
        <f>SUM(E68:E79)</f>
        <v>11715</v>
      </c>
      <c r="F90" s="53">
        <f>SUM(F68:F79)</f>
        <v>0</v>
      </c>
      <c r="G90" s="53">
        <f>SUM(G68:G79)</f>
        <v>11715</v>
      </c>
      <c r="H90" s="55"/>
      <c r="I90" s="58"/>
      <c r="J90" s="53"/>
      <c r="K90" s="54">
        <f>SUM(K68:K79)</f>
        <v>538</v>
      </c>
      <c r="L90" s="54">
        <f>SUM(L68:L79)</f>
        <v>394</v>
      </c>
      <c r="M90" s="55"/>
    </row>
    <row r="91" spans="1:13" ht="18">
      <c r="A91" s="20" t="s">
        <v>29</v>
      </c>
      <c r="B91" s="8">
        <v>97818</v>
      </c>
      <c r="C91" s="8">
        <f>C79</f>
        <v>97818</v>
      </c>
      <c r="D91" s="8">
        <f aca="true" t="shared" si="23" ref="D91:L91">D89+D90</f>
        <v>0</v>
      </c>
      <c r="E91" s="8">
        <f t="shared" si="23"/>
        <v>52478.25</v>
      </c>
      <c r="F91" s="8">
        <f t="shared" si="23"/>
        <v>0</v>
      </c>
      <c r="G91" s="8">
        <f t="shared" si="23"/>
        <v>52478.25</v>
      </c>
      <c r="H91" s="8">
        <f>H74</f>
        <v>52478.25</v>
      </c>
      <c r="I91" s="8">
        <f>I74</f>
        <v>24961</v>
      </c>
      <c r="J91" s="8">
        <f>J74</f>
        <v>2762.0131578947367</v>
      </c>
      <c r="K91" s="9">
        <f t="shared" si="23"/>
        <v>1691</v>
      </c>
      <c r="L91" s="9">
        <f t="shared" si="23"/>
        <v>1035</v>
      </c>
      <c r="M91" s="10"/>
    </row>
    <row r="92" spans="1:13" ht="18">
      <c r="A92" s="20"/>
      <c r="B92" s="8"/>
      <c r="C92" s="8"/>
      <c r="D92" s="23"/>
      <c r="E92" s="8"/>
      <c r="F92" s="8"/>
      <c r="G92" s="8"/>
      <c r="H92" s="10"/>
      <c r="I92" s="24"/>
      <c r="J92" s="8"/>
      <c r="K92" s="21"/>
      <c r="L92" s="21"/>
      <c r="M92" s="10"/>
    </row>
    <row r="93" spans="1:12" ht="15">
      <c r="A93" s="20" t="s">
        <v>30</v>
      </c>
      <c r="B93" s="25"/>
      <c r="C93" s="25"/>
      <c r="D93" s="26"/>
      <c r="E93" s="25"/>
      <c r="F93" s="25"/>
      <c r="G93" s="25"/>
      <c r="I93" s="20"/>
      <c r="J93" s="25"/>
      <c r="K93" s="27"/>
      <c r="L93" s="27"/>
    </row>
    <row r="94" spans="1:13" ht="18">
      <c r="A94" s="28" t="s">
        <v>31</v>
      </c>
      <c r="B94" s="8"/>
      <c r="C94" s="8"/>
      <c r="D94" s="23"/>
      <c r="E94" s="8"/>
      <c r="F94" s="8"/>
      <c r="G94" s="8"/>
      <c r="H94" s="8"/>
      <c r="I94" s="8"/>
      <c r="J94" s="8"/>
      <c r="K94" s="21"/>
      <c r="L94" s="21"/>
      <c r="M94" s="10"/>
    </row>
    <row r="95" spans="1:13" ht="18">
      <c r="A95" s="28" t="s">
        <v>32</v>
      </c>
      <c r="B95" s="8"/>
      <c r="C95" s="8"/>
      <c r="D95" s="23"/>
      <c r="E95" s="8"/>
      <c r="F95" s="8"/>
      <c r="G95" s="8"/>
      <c r="H95" s="8"/>
      <c r="I95" s="8"/>
      <c r="J95" s="8"/>
      <c r="K95" s="21"/>
      <c r="L95" s="21"/>
      <c r="M95" s="10"/>
    </row>
    <row r="96" spans="1:13" ht="18">
      <c r="A96" s="28" t="s">
        <v>33</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7" ht="15">
      <c r="B99" s="29"/>
      <c r="C99" s="29"/>
      <c r="D99" s="29"/>
      <c r="E99" s="29"/>
      <c r="F99" s="29"/>
      <c r="G99" s="29"/>
    </row>
    <row r="100" spans="1:7" ht="18">
      <c r="A100" s="5"/>
      <c r="B100" s="29"/>
      <c r="C100" s="29"/>
      <c r="D100" s="29"/>
      <c r="E100" s="29"/>
      <c r="F100" s="29"/>
      <c r="G100" s="29"/>
    </row>
    <row r="101" spans="1:7" ht="15">
      <c r="A101" s="20"/>
      <c r="B101" s="29"/>
      <c r="C101" s="29"/>
      <c r="D101" s="29"/>
      <c r="E101" s="29"/>
      <c r="F101" s="29"/>
      <c r="G101" s="29"/>
    </row>
    <row r="102" spans="1:7" ht="15">
      <c r="A102" s="20"/>
      <c r="B102" s="29"/>
      <c r="C102" s="29"/>
      <c r="D102" s="29"/>
      <c r="E102" s="29"/>
      <c r="F102" s="29"/>
      <c r="G102" s="29"/>
    </row>
  </sheetData>
  <sheetProtection/>
  <printOptions horizontalCentered="1"/>
  <pageMargins left="0.28" right="0.22" top="0.43" bottom="0.45" header="0.5" footer="0.5"/>
  <pageSetup fitToHeight="1" fitToWidth="1" orientation="landscape" scale="64"/>
  <headerFooter alignWithMargins="0">
    <oddFooter>&amp;L&amp;F    &amp;A&amp;C&amp;D&amp;T&amp;R&amp;P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State of Oregon</cp:lastModifiedBy>
  <cp:lastPrinted>2014-02-05T18:36:07Z</cp:lastPrinted>
  <dcterms:created xsi:type="dcterms:W3CDTF">2014-01-09T00:30:53Z</dcterms:created>
  <dcterms:modified xsi:type="dcterms:W3CDTF">2015-03-05T17:01:13Z</dcterms:modified>
  <cp:category/>
  <cp:version/>
  <cp:contentType/>
  <cp:contentStatus/>
</cp:coreProperties>
</file>